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06年度\106年度校舍案\【高中職組－107年學校新建工程控管計畫】\04-會議及活動\01-【研習說明會議】\1090723-112年申請說明會\00學校申請資料\"/>
    </mc:Choice>
  </mc:AlternateContent>
  <bookViews>
    <workbookView xWindow="0" yWindow="0" windowWidth="28800" windowHeight="12285" firstSheet="7" activeTab="7"/>
  </bookViews>
  <sheets>
    <sheet name="基隆商工" sheetId="1" state="hidden" r:id="rId1"/>
    <sheet name="臺東高商" sheetId="2" state="hidden" r:id="rId2"/>
    <sheet name="嘉義家職" sheetId="3" state="hidden" r:id="rId3"/>
    <sheet name="興大附農" sheetId="6" state="hidden" r:id="rId4"/>
    <sheet name="宜蘭高中" sheetId="4" state="hidden" r:id="rId5"/>
    <sheet name="臺東體中" sheetId="5" state="hidden" r:id="rId6"/>
    <sheet name="總經費合計" sheetId="32" state="hidden" r:id="rId7"/>
    <sheet name="經費概估表" sheetId="31" r:id="rId8"/>
    <sheet name="工作表7" sheetId="13" state="hidden" r:id="rId9"/>
  </sheets>
  <definedNames>
    <definedName name="_xlnm.Print_Area" localSheetId="8">工作表7!$A$10:$I$19</definedName>
    <definedName name="_xlnm.Print_Area" localSheetId="4">宜蘭高中!$A$1:$L$31</definedName>
    <definedName name="_xlnm.Print_Area" localSheetId="0">基隆商工!$A$1:$L$30</definedName>
    <definedName name="_xlnm.Print_Area" localSheetId="7">經費概估表!$A$1:$L$26</definedName>
    <definedName name="_xlnm.Print_Area" localSheetId="2">嘉義家職!$A$1:$L$30</definedName>
    <definedName name="_xlnm.Print_Area" localSheetId="1">臺東高商!$A$1:$L$30</definedName>
    <definedName name="_xlnm.Print_Area" localSheetId="5">臺東體中!$A$1:$L$30</definedName>
    <definedName name="_xlnm.Print_Area" localSheetId="3">興大附農!$A$1:$L$30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H10" i="32" l="1"/>
  <c r="I27" i="6" l="1"/>
  <c r="I27" i="5"/>
  <c r="O23" i="5" s="1"/>
  <c r="O21" i="5"/>
  <c r="Q21" i="5" s="1"/>
  <c r="O22" i="4"/>
  <c r="Q22" i="4" s="1"/>
  <c r="I27" i="1" l="1"/>
  <c r="H9" i="13" l="1"/>
  <c r="F23" i="5" l="1"/>
  <c r="I28" i="4"/>
  <c r="O24" i="4" s="1"/>
  <c r="F24" i="4"/>
  <c r="I27" i="3" l="1"/>
  <c r="F19" i="3"/>
  <c r="I23" i="3"/>
  <c r="F13" i="3"/>
  <c r="I27" i="2"/>
  <c r="F27" i="2" s="1"/>
  <c r="I23" i="2" l="1"/>
  <c r="F13" i="2"/>
  <c r="F23" i="1" l="1"/>
  <c r="F21" i="5"/>
  <c r="F19" i="5"/>
  <c r="F18" i="5"/>
  <c r="F12" i="5"/>
  <c r="I10" i="5"/>
  <c r="I9" i="5"/>
  <c r="I25" i="5" s="1"/>
  <c r="F25" i="5" s="1"/>
  <c r="F22" i="4"/>
  <c r="F20" i="4"/>
  <c r="F19" i="4"/>
  <c r="F13" i="4"/>
  <c r="I11" i="4"/>
  <c r="I10" i="4"/>
  <c r="I9" i="4"/>
  <c r="I26" i="4" s="1"/>
  <c r="F26" i="4" s="1"/>
  <c r="O21" i="6"/>
  <c r="Q21" i="6" s="1"/>
  <c r="F21" i="6"/>
  <c r="F19" i="6"/>
  <c r="F13" i="6"/>
  <c r="F12" i="6"/>
  <c r="I10" i="6"/>
  <c r="I9" i="6"/>
  <c r="I25" i="6" s="1"/>
  <c r="F25" i="6" s="1"/>
  <c r="O21" i="3"/>
  <c r="Q21" i="3" s="1"/>
  <c r="F21" i="3"/>
  <c r="F20" i="3"/>
  <c r="F12" i="3"/>
  <c r="I10" i="3"/>
  <c r="I9" i="3"/>
  <c r="I25" i="3" s="1"/>
  <c r="F25" i="3" s="1"/>
  <c r="O21" i="2"/>
  <c r="Q21" i="2" s="1"/>
  <c r="F21" i="2"/>
  <c r="F19" i="2"/>
  <c r="F12" i="2"/>
  <c r="I10" i="2"/>
  <c r="I9" i="2"/>
  <c r="I26" i="2" s="1"/>
  <c r="O21" i="1"/>
  <c r="Q21" i="1" s="1"/>
  <c r="F21" i="1"/>
  <c r="F19" i="1"/>
  <c r="F13" i="1"/>
  <c r="F12" i="1"/>
  <c r="I11" i="1"/>
  <c r="I10" i="1"/>
  <c r="I9" i="1"/>
  <c r="I25" i="1" s="1"/>
  <c r="F25" i="1" s="1"/>
  <c r="I12" i="4" l="1"/>
  <c r="F12" i="4" s="1"/>
  <c r="I27" i="4"/>
  <c r="F27" i="4" s="1"/>
  <c r="I11" i="2"/>
  <c r="I14" i="6"/>
  <c r="Q19" i="6" s="1"/>
  <c r="I26" i="6"/>
  <c r="F26" i="6" s="1"/>
  <c r="I25" i="2"/>
  <c r="I11" i="6"/>
  <c r="F11" i="6" s="1"/>
  <c r="I26" i="5"/>
  <c r="F26" i="5" s="1"/>
  <c r="I11" i="5"/>
  <c r="F11" i="5" s="1"/>
  <c r="I13" i="5"/>
  <c r="F27" i="5"/>
  <c r="F14" i="4"/>
  <c r="I15" i="4"/>
  <c r="I32" i="6"/>
  <c r="F27" i="6"/>
  <c r="I26" i="3"/>
  <c r="F26" i="3" s="1"/>
  <c r="I11" i="3"/>
  <c r="F11" i="3" s="1"/>
  <c r="I14" i="3"/>
  <c r="I14" i="2"/>
  <c r="I26" i="1"/>
  <c r="F26" i="1" s="1"/>
  <c r="I14" i="1"/>
  <c r="N27" i="1" s="1"/>
  <c r="O19" i="6" l="1"/>
  <c r="S19" i="6" s="1"/>
  <c r="I22" i="6"/>
  <c r="O20" i="4"/>
  <c r="Q20" i="4"/>
  <c r="S20" i="4" s="1"/>
  <c r="Q24" i="4"/>
  <c r="F13" i="5"/>
  <c r="I14" i="5"/>
  <c r="F22" i="6"/>
  <c r="O17" i="6"/>
  <c r="I18" i="6" s="1"/>
  <c r="Q19" i="3"/>
  <c r="O19" i="3"/>
  <c r="Q19" i="2"/>
  <c r="O19" i="2"/>
  <c r="Q19" i="1"/>
  <c r="O19" i="1"/>
  <c r="I28" i="5"/>
  <c r="I33" i="4"/>
  <c r="I23" i="4"/>
  <c r="I32" i="3"/>
  <c r="I22" i="3"/>
  <c r="F27" i="3"/>
  <c r="I32" i="2"/>
  <c r="I22" i="2"/>
  <c r="O17" i="2" s="1"/>
  <c r="I18" i="2" s="1"/>
  <c r="I32" i="1"/>
  <c r="I22" i="1"/>
  <c r="O17" i="1" s="1"/>
  <c r="I18" i="1" s="1"/>
  <c r="O23" i="1" s="1"/>
  <c r="Q23" i="1" s="1"/>
  <c r="S19" i="2" l="1"/>
  <c r="S19" i="3"/>
  <c r="F23" i="4"/>
  <c r="O18" i="4"/>
  <c r="Q19" i="5"/>
  <c r="O19" i="5"/>
  <c r="Q23" i="5"/>
  <c r="I30" i="5"/>
  <c r="I34" i="5" s="1"/>
  <c r="I32" i="5"/>
  <c r="I22" i="5"/>
  <c r="F18" i="6"/>
  <c r="O23" i="6"/>
  <c r="Q23" i="6" s="1"/>
  <c r="F22" i="3"/>
  <c r="O17" i="3"/>
  <c r="I18" i="3" s="1"/>
  <c r="I28" i="3" s="1"/>
  <c r="O23" i="2"/>
  <c r="Q23" i="2" s="1"/>
  <c r="F23" i="2" s="1"/>
  <c r="F18" i="2"/>
  <c r="S19" i="1"/>
  <c r="F18" i="1"/>
  <c r="F28" i="4"/>
  <c r="I29" i="4"/>
  <c r="I31" i="4" s="1"/>
  <c r="I35" i="4" s="1"/>
  <c r="F27" i="1"/>
  <c r="F22" i="5" l="1"/>
  <c r="O17" i="5"/>
  <c r="S19" i="5"/>
  <c r="I28" i="6"/>
  <c r="I30" i="6" s="1"/>
  <c r="I34" i="6" s="1"/>
  <c r="F23" i="6"/>
  <c r="F18" i="3"/>
  <c r="O23" i="3"/>
  <c r="Q23" i="3" s="1"/>
  <c r="I28" i="2"/>
  <c r="I30" i="2" s="1"/>
  <c r="I34" i="2" s="1"/>
  <c r="I28" i="1"/>
  <c r="I30" i="1" s="1"/>
  <c r="I34" i="1" s="1"/>
  <c r="I30" i="3" l="1"/>
  <c r="I34" i="3" s="1"/>
  <c r="F23" i="3"/>
</calcChain>
</file>

<file path=xl/sharedStrings.xml><?xml version="1.0" encoding="utf-8"?>
<sst xmlns="http://schemas.openxmlformats.org/spreadsheetml/2006/main" count="642" uniqueCount="424">
  <si>
    <t>109年待補助新興工程提請研商核定案件</t>
    <phoneticPr fontId="3" type="noConversion"/>
  </si>
  <si>
    <t>建議順序</t>
    <phoneticPr fontId="3" type="noConversion"/>
  </si>
  <si>
    <t>優先</t>
    <phoneticPr fontId="3" type="noConversion"/>
  </si>
  <si>
    <t>申請學校</t>
    <phoneticPr fontId="3" type="noConversion"/>
  </si>
  <si>
    <t>國立基隆高級商工職業學校</t>
    <phoneticPr fontId="3" type="noConversion"/>
  </si>
  <si>
    <t>建議
量體</t>
    <phoneticPr fontId="3" type="noConversion"/>
  </si>
  <si>
    <t>樓層數</t>
    <phoneticPr fontId="3" type="noConversion"/>
  </si>
  <si>
    <t>地上5層、地下1層</t>
    <phoneticPr fontId="3" type="noConversion"/>
  </si>
  <si>
    <t>計畫名稱</t>
    <phoneticPr fontId="3" type="noConversion"/>
  </si>
  <si>
    <t>行政教學綜合大樓拆除
改建工程</t>
    <phoneticPr fontId="3" type="noConversion"/>
  </si>
  <si>
    <t>總樓地板面積(m²)</t>
    <phoneticPr fontId="3" type="noConversion"/>
  </si>
  <si>
    <t>地上4200
地下650</t>
    <phoneticPr fontId="3" type="noConversion"/>
  </si>
  <si>
    <t>工程經費概算表</t>
    <phoneticPr fontId="3" type="noConversion"/>
  </si>
  <si>
    <t>項次</t>
    <phoneticPr fontId="3" type="noConversion"/>
  </si>
  <si>
    <t>工作項目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</si>
  <si>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</si>
  <si>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</si>
  <si>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</si>
  <si>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</si>
  <si>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</si>
  <si>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壹</t>
    <phoneticPr fontId="3" type="noConversion"/>
  </si>
  <si>
    <t>直接成本</t>
    <phoneticPr fontId="3" type="noConversion"/>
  </si>
  <si>
    <t>一</t>
    <phoneticPr fontId="3" type="noConversion"/>
  </si>
  <si>
    <t>一般房屋建築費</t>
    <phoneticPr fontId="3" type="noConversion"/>
  </si>
  <si>
    <t>m²</t>
    <phoneticPr fontId="3" type="noConversion"/>
  </si>
  <si>
    <t>二</t>
    <phoneticPr fontId="3" type="noConversion"/>
  </si>
  <si>
    <t>拆除工程</t>
    <phoneticPr fontId="3" type="noConversion"/>
  </si>
  <si>
    <t>m²</t>
    <phoneticPr fontId="3" type="noConversion"/>
  </si>
  <si>
    <t>已拆除行政教學綜合大樓</t>
    <phoneticPr fontId="3" type="noConversion"/>
  </si>
  <si>
    <t>三</t>
    <phoneticPr fontId="3" type="noConversion"/>
  </si>
  <si>
    <t>地下室興建費</t>
    <phoneticPr fontId="3" type="noConversion"/>
  </si>
  <si>
    <t>m²</t>
    <phoneticPr fontId="3" type="noConversion"/>
  </si>
  <si>
    <t>地下室額外增加50%費用</t>
    <phoneticPr fontId="3" type="noConversion"/>
  </si>
  <si>
    <t>四</t>
    <phoneticPr fontId="3" type="noConversion"/>
  </si>
  <si>
    <t>特殊設備(空調設備)</t>
    <phoneticPr fontId="3" type="noConversion"/>
  </si>
  <si>
    <t>式</t>
  </si>
  <si>
    <t>學校申請空調費</t>
    <phoneticPr fontId="3" type="noConversion"/>
  </si>
  <si>
    <t>五</t>
    <phoneticPr fontId="3" type="noConversion"/>
  </si>
  <si>
    <t>智慧綠建築(包括智慧建築與綠建築)設施</t>
    <phoneticPr fontId="3" type="noConversion"/>
  </si>
  <si>
    <t>式</t>
    <phoneticPr fontId="3" type="noConversion"/>
  </si>
  <si>
    <t>小計(一~五)</t>
    <phoneticPr fontId="3" type="noConversion"/>
  </si>
  <si>
    <t>項次</t>
    <phoneticPr fontId="3" type="noConversion"/>
  </si>
  <si>
    <t>工作項目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</si>
  <si>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</si>
  <si>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</si>
  <si>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</si>
  <si>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</si>
  <si>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</si>
  <si>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貳</t>
    <phoneticPr fontId="3" type="noConversion"/>
  </si>
  <si>
    <t>間接成本、規劃設計費</t>
    <phoneticPr fontId="3" type="noConversion"/>
  </si>
  <si>
    <t>一</t>
    <phoneticPr fontId="3" type="noConversion"/>
  </si>
  <si>
    <t>工程管理費</t>
    <phoneticPr fontId="3" type="noConversion"/>
  </si>
  <si>
    <t>(包含地質鑽探費、工程保險費、水電外線補助費、規費(建造執照規費)、材料設備抽(檢)驗費等)</t>
    <phoneticPr fontId="3" type="noConversion"/>
  </si>
  <si>
    <t>二</t>
    <phoneticPr fontId="3" type="noConversion"/>
  </si>
  <si>
    <t>規劃設計監造費</t>
    <phoneticPr fontId="3" type="noConversion"/>
  </si>
  <si>
    <t>地質改良費</t>
    <phoneticPr fontId="3" type="noConversion"/>
  </si>
  <si>
    <t>四</t>
    <phoneticPr fontId="3" type="noConversion"/>
  </si>
  <si>
    <t>基本家具設備費</t>
    <phoneticPr fontId="3" type="noConversion"/>
  </si>
  <si>
    <t>學校申請家具費</t>
    <phoneticPr fontId="3" type="noConversion"/>
  </si>
  <si>
    <t>五</t>
    <phoneticPr fontId="3" type="noConversion"/>
  </si>
  <si>
    <t>工程保險費</t>
    <phoneticPr fontId="3" type="noConversion"/>
  </si>
  <si>
    <t>直接工程成本0.5%</t>
    <phoneticPr fontId="3" type="noConversion"/>
  </si>
  <si>
    <t>營建物價調整費</t>
    <phoneticPr fontId="3" type="noConversion"/>
  </si>
  <si>
    <t>第3年漲幅1.5%計算</t>
    <phoneticPr fontId="3" type="noConversion"/>
  </si>
  <si>
    <t>七</t>
    <phoneticPr fontId="3" type="noConversion"/>
  </si>
  <si>
    <t>水電外線補助費</t>
    <phoneticPr fontId="3" type="noConversion"/>
  </si>
  <si>
    <t>八</t>
    <phoneticPr fontId="3" type="noConversion"/>
  </si>
  <si>
    <t>規費(建造執照規費)</t>
    <phoneticPr fontId="3" type="noConversion"/>
  </si>
  <si>
    <t>一般房屋建築費0.1%</t>
    <phoneticPr fontId="3" type="noConversion"/>
  </si>
  <si>
    <t>九</t>
    <phoneticPr fontId="3" type="noConversion"/>
  </si>
  <si>
    <t>材料設備抽(檢)驗費</t>
    <phoneticPr fontId="3" type="noConversion"/>
  </si>
  <si>
    <t>一般房屋建築費1%</t>
    <phoneticPr fontId="3" type="noConversion"/>
  </si>
  <si>
    <t>六</t>
    <phoneticPr fontId="3" type="noConversion"/>
  </si>
  <si>
    <t>公共藝術設置費</t>
    <phoneticPr fontId="3" type="noConversion"/>
  </si>
  <si>
    <t>≧直接工程成本1%</t>
    <phoneticPr fontId="3" type="noConversion"/>
  </si>
  <si>
    <t>小計(一~六)</t>
    <phoneticPr fontId="3" type="noConversion"/>
  </si>
  <si>
    <t>總經費(壹+貳)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</si>
  <si>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</si>
  <si>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</si>
  <si>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規劃階段作業費用</t>
    <phoneticPr fontId="3" type="noConversion"/>
  </si>
  <si>
    <t>設計階段作業費用</t>
    <phoneticPr fontId="3" type="noConversion"/>
  </si>
  <si>
    <t>規劃設計監造費</t>
    <phoneticPr fontId="3" type="noConversion"/>
  </si>
  <si>
    <t>教學(行政)空間
(總樓地板面積*80%)</t>
    <phoneticPr fontId="3" type="noConversion"/>
  </si>
  <si>
    <t>109年待補助新興工程提請研商核定案件</t>
    <phoneticPr fontId="3" type="noConversion"/>
  </si>
  <si>
    <t>建議順序</t>
    <phoneticPr fontId="3" type="noConversion"/>
  </si>
  <si>
    <t>申請學校</t>
    <phoneticPr fontId="3" type="noConversion"/>
  </si>
  <si>
    <t>國立臺東高級商業職業學校</t>
    <phoneticPr fontId="3" type="noConversion"/>
  </si>
  <si>
    <t>建議
量體</t>
    <phoneticPr fontId="3" type="noConversion"/>
  </si>
  <si>
    <t>樓層數</t>
    <phoneticPr fontId="3" type="noConversion"/>
  </si>
  <si>
    <t>地上4層</t>
    <phoneticPr fontId="3" type="noConversion"/>
  </si>
  <si>
    <t>計畫名稱</t>
    <phoneticPr fontId="3" type="noConversion"/>
  </si>
  <si>
    <t>技藝大樓興建計畫</t>
    <phoneticPr fontId="3" type="noConversion"/>
  </si>
  <si>
    <t>總樓地板面積(m²)</t>
    <phoneticPr fontId="3" type="noConversion"/>
  </si>
  <si>
    <t>工程經費概算表</t>
    <phoneticPr fontId="3" type="noConversion"/>
  </si>
  <si>
    <t>項次</t>
    <phoneticPr fontId="3" type="noConversion"/>
  </si>
  <si>
    <t>工作項目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</si>
  <si>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</si>
  <si>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</si>
  <si>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</si>
  <si>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</si>
  <si>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</si>
  <si>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壹</t>
    <phoneticPr fontId="3" type="noConversion"/>
  </si>
  <si>
    <t>直接成本</t>
    <phoneticPr fontId="3" type="noConversion"/>
  </si>
  <si>
    <t>一</t>
    <phoneticPr fontId="3" type="noConversion"/>
  </si>
  <si>
    <t>一般房屋建築費</t>
    <phoneticPr fontId="3" type="noConversion"/>
  </si>
  <si>
    <t>m²</t>
    <phoneticPr fontId="3" type="noConversion"/>
  </si>
  <si>
    <t>二</t>
    <phoneticPr fontId="3" type="noConversion"/>
  </si>
  <si>
    <t>拆除工程</t>
    <phoneticPr fontId="3" type="noConversion"/>
  </si>
  <si>
    <t>m²</t>
  </si>
  <si>
    <t>三</t>
    <phoneticPr fontId="3" type="noConversion"/>
  </si>
  <si>
    <t>品管費(含品管人員及行政管理費用)</t>
    <phoneticPr fontId="3" type="noConversion"/>
  </si>
  <si>
    <t>一般房屋建築費2%</t>
    <phoneticPr fontId="3" type="noConversion"/>
  </si>
  <si>
    <t>三</t>
    <phoneticPr fontId="3" type="noConversion"/>
  </si>
  <si>
    <t>特殊設備(空調設備)</t>
    <phoneticPr fontId="3" type="noConversion"/>
  </si>
  <si>
    <t>學校申請空調經費</t>
    <phoneticPr fontId="3" type="noConversion"/>
  </si>
  <si>
    <t>四</t>
    <phoneticPr fontId="3" type="noConversion"/>
  </si>
  <si>
    <t>智慧綠建築(包括智慧建築與綠建築)設施</t>
    <phoneticPr fontId="3" type="noConversion"/>
  </si>
  <si>
    <t>式</t>
    <phoneticPr fontId="3" type="noConversion"/>
  </si>
  <si>
    <t>小計(一~四)</t>
    <phoneticPr fontId="3" type="noConversion"/>
  </si>
  <si>
    <t>項次</t>
    <phoneticPr fontId="3" type="noConversion"/>
  </si>
  <si>
    <t>工作項目</t>
    <phoneticPr fontId="3" type="noConversion"/>
  </si>
  <si>
    <t>單位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</si>
  <si>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</si>
  <si>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</si>
  <si>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</si>
  <si>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貳</t>
    <phoneticPr fontId="3" type="noConversion"/>
  </si>
  <si>
    <t>間接成本、規劃設計費</t>
    <phoneticPr fontId="3" type="noConversion"/>
  </si>
  <si>
    <t>工程管理費</t>
    <phoneticPr fontId="3" type="noConversion"/>
  </si>
  <si>
    <t>(包含地質鑽探費、工程保險費、水電外線補助費、規費(建造執照規費)、材料設備抽(檢)驗費等)</t>
    <phoneticPr fontId="3" type="noConversion"/>
  </si>
  <si>
    <t>二</t>
    <phoneticPr fontId="3" type="noConversion"/>
  </si>
  <si>
    <t>規劃設計監造費</t>
    <phoneticPr fontId="3" type="noConversion"/>
  </si>
  <si>
    <t>三</t>
    <phoneticPr fontId="3" type="noConversion"/>
  </si>
  <si>
    <t>地質鑽探費</t>
    <phoneticPr fontId="3" type="noConversion"/>
  </si>
  <si>
    <t>學校申請家具經費</t>
    <phoneticPr fontId="3" type="noConversion"/>
  </si>
  <si>
    <t>工程保險費</t>
    <phoneticPr fontId="3" type="noConversion"/>
  </si>
  <si>
    <t>營建物價調整費</t>
    <phoneticPr fontId="3" type="noConversion"/>
  </si>
  <si>
    <t>第3年漲幅1.5%計算</t>
    <phoneticPr fontId="3" type="noConversion"/>
  </si>
  <si>
    <t>七</t>
    <phoneticPr fontId="3" type="noConversion"/>
  </si>
  <si>
    <t>水電外線補助費</t>
    <phoneticPr fontId="3" type="noConversion"/>
  </si>
  <si>
    <t>八</t>
    <phoneticPr fontId="3" type="noConversion"/>
  </si>
  <si>
    <t>九</t>
    <phoneticPr fontId="3" type="noConversion"/>
  </si>
  <si>
    <t>材料設備抽(檢)驗費</t>
    <phoneticPr fontId="3" type="noConversion"/>
  </si>
  <si>
    <t>式</t>
    <phoneticPr fontId="3" type="noConversion"/>
  </si>
  <si>
    <t>≧直接工程成本1%</t>
    <phoneticPr fontId="3" type="noConversion"/>
  </si>
  <si>
    <t>小計(一~五)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</si>
  <si>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</si>
  <si>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</si>
  <si>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規劃階段作業費用</t>
    <phoneticPr fontId="3" type="noConversion"/>
  </si>
  <si>
    <t>設計階段作業費用</t>
    <phoneticPr fontId="3" type="noConversion"/>
  </si>
  <si>
    <t>教學(行政)空間
(總樓地板面積*80%)</t>
    <phoneticPr fontId="3" type="noConversion"/>
  </si>
  <si>
    <t>109年待補助新興工程提請研商核定案件</t>
    <phoneticPr fontId="3" type="noConversion"/>
  </si>
  <si>
    <t>建議順序</t>
    <phoneticPr fontId="3" type="noConversion"/>
  </si>
  <si>
    <t>申請學校</t>
    <phoneticPr fontId="3" type="noConversion"/>
  </si>
  <si>
    <t>國立嘉義高級家事職業學校</t>
    <phoneticPr fontId="3" type="noConversion"/>
  </si>
  <si>
    <t>建議
量體</t>
    <phoneticPr fontId="3" type="noConversion"/>
  </si>
  <si>
    <t>樓層數</t>
    <phoneticPr fontId="3" type="noConversion"/>
  </si>
  <si>
    <t>地上5層</t>
    <phoneticPr fontId="3" type="noConversion"/>
  </si>
  <si>
    <t>計畫名稱</t>
    <phoneticPr fontId="3" type="noConversion"/>
  </si>
  <si>
    <t>人體美學中心新建工程計畫</t>
    <phoneticPr fontId="3" type="noConversion"/>
  </si>
  <si>
    <t>總樓地板面積(m²)</t>
    <phoneticPr fontId="3" type="noConversion"/>
  </si>
  <si>
    <t>工程經費概算表</t>
    <phoneticPr fontId="3" type="noConversion"/>
  </si>
  <si>
    <t>工作項目</t>
    <phoneticPr fontId="3" type="noConversion"/>
  </si>
  <si>
    <t>單位</t>
    <phoneticPr fontId="3" type="noConversion"/>
  </si>
  <si>
    <t>單價</t>
    <phoneticPr fontId="3" type="noConversion"/>
  </si>
  <si>
    <t>總價(元)</t>
    <phoneticPr fontId="3" type="noConversion"/>
  </si>
  <si>
    <t>壹</t>
    <phoneticPr fontId="3" type="noConversion"/>
  </si>
  <si>
    <t>直接成本</t>
    <phoneticPr fontId="3" type="noConversion"/>
  </si>
  <si>
    <t>一般房屋建築費</t>
    <phoneticPr fontId="3" type="noConversion"/>
  </si>
  <si>
    <t>m²</t>
    <phoneticPr fontId="3" type="noConversion"/>
  </si>
  <si>
    <t>二</t>
    <phoneticPr fontId="3" type="noConversion"/>
  </si>
  <si>
    <t>拆除工程</t>
    <phoneticPr fontId="3" type="noConversion"/>
  </si>
  <si>
    <t>拆除小木屋</t>
    <phoneticPr fontId="3" type="noConversion"/>
  </si>
  <si>
    <t>三</t>
    <phoneticPr fontId="3" type="noConversion"/>
  </si>
  <si>
    <t>品管費(含品管人員及行政管理費用)</t>
    <phoneticPr fontId="3" type="noConversion"/>
  </si>
  <si>
    <t>一般房屋建築費2%</t>
    <phoneticPr fontId="3" type="noConversion"/>
  </si>
  <si>
    <t>三</t>
    <phoneticPr fontId="3" type="noConversion"/>
  </si>
  <si>
    <t>特殊設備(空調設備)</t>
    <phoneticPr fontId="3" type="noConversion"/>
  </si>
  <si>
    <t>學校申請空調費</t>
    <phoneticPr fontId="3" type="noConversion"/>
  </si>
  <si>
    <t>四</t>
    <phoneticPr fontId="3" type="noConversion"/>
  </si>
  <si>
    <t>智慧綠建築(包括智慧建築與綠建築)設施</t>
    <phoneticPr fontId="3" type="noConversion"/>
  </si>
  <si>
    <t>式</t>
    <phoneticPr fontId="3" type="noConversion"/>
  </si>
  <si>
    <t>小計(一~四)</t>
    <phoneticPr fontId="3" type="noConversion"/>
  </si>
  <si>
    <t>項次</t>
    <phoneticPr fontId="3" type="noConversion"/>
  </si>
  <si>
    <t>總價(元)</t>
    <phoneticPr fontId="3" type="noConversion"/>
  </si>
  <si>
    <t>貳</t>
    <phoneticPr fontId="3" type="noConversion"/>
  </si>
  <si>
    <t>間接成本、規劃設計費</t>
    <phoneticPr fontId="3" type="noConversion"/>
  </si>
  <si>
    <t>工程管理費</t>
    <phoneticPr fontId="3" type="noConversion"/>
  </si>
  <si>
    <t>(包含地質鑽探費、工程保險費、水電外線補助費、規費(建造執照規費)、材料設備抽(檢)驗費等)</t>
    <phoneticPr fontId="3" type="noConversion"/>
  </si>
  <si>
    <t>地質改良費</t>
    <phoneticPr fontId="3" type="noConversion"/>
  </si>
  <si>
    <t>學校申請地質改良費</t>
    <phoneticPr fontId="3" type="noConversion"/>
  </si>
  <si>
    <t>基本家具設備費</t>
    <phoneticPr fontId="3" type="noConversion"/>
  </si>
  <si>
    <t>五</t>
    <phoneticPr fontId="3" type="noConversion"/>
  </si>
  <si>
    <t>工程保險費</t>
    <phoneticPr fontId="3" type="noConversion"/>
  </si>
  <si>
    <t>直接工程成本0.5%</t>
    <phoneticPr fontId="3" type="noConversion"/>
  </si>
  <si>
    <t>五</t>
    <phoneticPr fontId="3" type="noConversion"/>
  </si>
  <si>
    <t>營建物價調整費</t>
    <phoneticPr fontId="3" type="noConversion"/>
  </si>
  <si>
    <t>第3年漲幅1.5%計算</t>
    <phoneticPr fontId="3" type="noConversion"/>
  </si>
  <si>
    <t>七</t>
    <phoneticPr fontId="3" type="noConversion"/>
  </si>
  <si>
    <t>規費(建造執照規費)</t>
    <phoneticPr fontId="3" type="noConversion"/>
  </si>
  <si>
    <t>材料設備抽(檢)驗費</t>
    <phoneticPr fontId="3" type="noConversion"/>
  </si>
  <si>
    <t>一般房屋建築費1%</t>
    <phoneticPr fontId="3" type="noConversion"/>
  </si>
  <si>
    <t>六</t>
    <phoneticPr fontId="3" type="noConversion"/>
  </si>
  <si>
    <t>公共藝術設置費</t>
    <phoneticPr fontId="3" type="noConversion"/>
  </si>
  <si>
    <t>式</t>
    <phoneticPr fontId="3" type="noConversion"/>
  </si>
  <si>
    <t>≧直接工程成本1%</t>
    <phoneticPr fontId="3" type="noConversion"/>
  </si>
  <si>
    <t>總經費(壹+貳)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</si>
  <si>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</si>
  <si>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</si>
  <si>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規劃階段作業費用</t>
    <phoneticPr fontId="3" type="noConversion"/>
  </si>
  <si>
    <t>設計階段作業費用</t>
    <phoneticPr fontId="3" type="noConversion"/>
  </si>
  <si>
    <t>規劃設計監造費</t>
    <phoneticPr fontId="3" type="noConversion"/>
  </si>
  <si>
    <t>教學(行政)空間
(總樓地板面積*80%)</t>
    <phoneticPr fontId="3" type="noConversion"/>
  </si>
  <si>
    <t>109年待補助新興工程提請研商核定案件</t>
    <phoneticPr fontId="3" type="noConversion"/>
  </si>
  <si>
    <t>建議順序</t>
    <phoneticPr fontId="3" type="noConversion"/>
  </si>
  <si>
    <t>國立中興大學
附屬臺中高級農業職業學校</t>
    <phoneticPr fontId="3" type="noConversion"/>
  </si>
  <si>
    <t>樓層數</t>
    <phoneticPr fontId="3" type="noConversion"/>
  </si>
  <si>
    <t>地上5層、地下1層</t>
    <phoneticPr fontId="3" type="noConversion"/>
  </si>
  <si>
    <t>計畫名稱</t>
    <phoneticPr fontId="3" type="noConversion"/>
  </si>
  <si>
    <t>綜合學大樓</t>
    <phoneticPr fontId="3" type="noConversion"/>
  </si>
  <si>
    <t>地上5,000
地下2238.94
(學校自籌地下停車場)</t>
    <phoneticPr fontId="3" type="noConversion"/>
  </si>
  <si>
    <t>工程經費概算表</t>
    <phoneticPr fontId="3" type="noConversion"/>
  </si>
  <si>
    <t>工作項目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</si>
  <si>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</si>
  <si>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</si>
  <si>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</si>
  <si>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</si>
  <si>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</si>
  <si>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壹</t>
    <phoneticPr fontId="3" type="noConversion"/>
  </si>
  <si>
    <t>直接成本</t>
    <phoneticPr fontId="3" type="noConversion"/>
  </si>
  <si>
    <t>一</t>
    <phoneticPr fontId="3" type="noConversion"/>
  </si>
  <si>
    <t>一般房屋建築費</t>
    <phoneticPr fontId="3" type="noConversion"/>
  </si>
  <si>
    <t>m²</t>
    <phoneticPr fontId="3" type="noConversion"/>
  </si>
  <si>
    <t>二</t>
    <phoneticPr fontId="3" type="noConversion"/>
  </si>
  <si>
    <t>拆除工程</t>
    <phoneticPr fontId="3" type="noConversion"/>
  </si>
  <si>
    <t>拆除洗車空間</t>
    <phoneticPr fontId="3" type="noConversion"/>
  </si>
  <si>
    <t>三</t>
    <phoneticPr fontId="3" type="noConversion"/>
  </si>
  <si>
    <t>品管費(含品管人員及行政管理費用)</t>
    <phoneticPr fontId="3" type="noConversion"/>
  </si>
  <si>
    <t>一般房屋建築費2%</t>
    <phoneticPr fontId="3" type="noConversion"/>
  </si>
  <si>
    <t>特殊設備(空調設備)</t>
    <phoneticPr fontId="3" type="noConversion"/>
  </si>
  <si>
    <t>學校申請空調費(禮堂)</t>
    <phoneticPr fontId="3" type="noConversion"/>
  </si>
  <si>
    <t>四</t>
    <phoneticPr fontId="3" type="noConversion"/>
  </si>
  <si>
    <t>智慧綠建築(包括智慧建築與綠建築)設施</t>
    <phoneticPr fontId="3" type="noConversion"/>
  </si>
  <si>
    <t>式</t>
    <phoneticPr fontId="3" type="noConversion"/>
  </si>
  <si>
    <t>小計(一~五)</t>
    <phoneticPr fontId="3" type="noConversion"/>
  </si>
  <si>
    <t>貳</t>
    <phoneticPr fontId="3" type="noConversion"/>
  </si>
  <si>
    <t>間接成本、規劃設計費</t>
    <phoneticPr fontId="3" type="noConversion"/>
  </si>
  <si>
    <t>工程管理費</t>
    <phoneticPr fontId="3" type="noConversion"/>
  </si>
  <si>
    <t>(包含地質鑽探費、工程保險費、水電外線補助費、規費(建造執照規費)、材料設備抽(檢)驗費等)</t>
    <phoneticPr fontId="3" type="noConversion"/>
  </si>
  <si>
    <t>規劃設計監造費</t>
    <phoneticPr fontId="3" type="noConversion"/>
  </si>
  <si>
    <t>地質鑽探費</t>
    <phoneticPr fontId="3" type="noConversion"/>
  </si>
  <si>
    <t>基本家具設備費</t>
    <phoneticPr fontId="3" type="noConversion"/>
  </si>
  <si>
    <t>學校申請家具費</t>
    <phoneticPr fontId="3" type="noConversion"/>
  </si>
  <si>
    <t>工程保險費</t>
    <phoneticPr fontId="3" type="noConversion"/>
  </si>
  <si>
    <t>營建物價調整費</t>
    <phoneticPr fontId="3" type="noConversion"/>
  </si>
  <si>
    <t>第3年漲幅1.5%計算</t>
    <phoneticPr fontId="3" type="noConversion"/>
  </si>
  <si>
    <t>八</t>
    <phoneticPr fontId="3" type="noConversion"/>
  </si>
  <si>
    <t>規費(建造執照規費)</t>
    <phoneticPr fontId="3" type="noConversion"/>
  </si>
  <si>
    <t>一般房屋建築費0.1%</t>
    <phoneticPr fontId="3" type="noConversion"/>
  </si>
  <si>
    <t>材料設備抽(檢)驗費</t>
    <phoneticPr fontId="3" type="noConversion"/>
  </si>
  <si>
    <t>五</t>
    <phoneticPr fontId="3" type="noConversion"/>
  </si>
  <si>
    <t>公共藝術設置費</t>
    <phoneticPr fontId="3" type="noConversion"/>
  </si>
  <si>
    <t>≧直接工程成本1%</t>
    <phoneticPr fontId="3" type="noConversion"/>
  </si>
  <si>
    <t>總經費(壹+貳)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</si>
  <si>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</si>
  <si>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</si>
  <si>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規劃階段作業費用</t>
    <phoneticPr fontId="3" type="noConversion"/>
  </si>
  <si>
    <t>設計階段作業費用</t>
    <phoneticPr fontId="3" type="noConversion"/>
  </si>
  <si>
    <t>規劃設計監造費</t>
    <phoneticPr fontId="3" type="noConversion"/>
  </si>
  <si>
    <t>教學(行政)空間
(總樓地板面積*80%)</t>
    <phoneticPr fontId="3" type="noConversion"/>
  </si>
  <si>
    <t>109年待補助新興工程提請研商核定案件</t>
    <phoneticPr fontId="3" type="noConversion"/>
  </si>
  <si>
    <t>國立宜蘭高級中學</t>
    <phoneticPr fontId="3" type="noConversion"/>
  </si>
  <si>
    <t>地上3層</t>
    <phoneticPr fontId="3" type="noConversion"/>
  </si>
  <si>
    <t>計畫名稱</t>
    <phoneticPr fontId="3" type="noConversion"/>
  </si>
  <si>
    <t>綜合體育館興建工程</t>
    <phoneticPr fontId="3" type="noConversion"/>
  </si>
  <si>
    <t>總樓地板面積(m²)</t>
    <phoneticPr fontId="3" type="noConversion"/>
  </si>
  <si>
    <t>項次</t>
    <phoneticPr fontId="3" type="noConversion"/>
  </si>
  <si>
    <t>工作項目</t>
    <phoneticPr fontId="3" type="noConversion"/>
  </si>
  <si>
    <t>單位</t>
    <phoneticPr fontId="3" type="noConversion"/>
  </si>
  <si>
    <t>單價</t>
    <phoneticPr fontId="3" type="noConversion"/>
  </si>
  <si>
    <t>總價(元)</t>
    <phoneticPr fontId="3" type="noConversion"/>
  </si>
  <si>
    <t>備註</t>
    <phoneticPr fontId="3" type="noConversion"/>
  </si>
  <si>
    <t>壹</t>
    <phoneticPr fontId="3" type="noConversion"/>
  </si>
  <si>
    <t>直接成本</t>
    <phoneticPr fontId="3" type="noConversion"/>
  </si>
  <si>
    <t>一</t>
    <phoneticPr fontId="3" type="noConversion"/>
  </si>
  <si>
    <t>一般房屋建築費</t>
    <phoneticPr fontId="3" type="noConversion"/>
  </si>
  <si>
    <t>m²</t>
    <phoneticPr fontId="3" type="noConversion"/>
  </si>
  <si>
    <t>二</t>
    <phoneticPr fontId="3" type="noConversion"/>
  </si>
  <si>
    <t>特殊工法
(球場挑高10m)</t>
    <phoneticPr fontId="3" type="noConversion"/>
  </si>
  <si>
    <t>挑高設計增加50%費用</t>
    <phoneticPr fontId="3" type="noConversion"/>
  </si>
  <si>
    <t>三</t>
    <phoneticPr fontId="3" type="noConversion"/>
  </si>
  <si>
    <t>拆除工程</t>
    <phoneticPr fontId="3" type="noConversion"/>
  </si>
  <si>
    <t>拆除   1.環保教室A
 2.車棚</t>
    <phoneticPr fontId="3" type="noConversion"/>
  </si>
  <si>
    <t>品管費(含品管人員及行政管理費用)</t>
    <phoneticPr fontId="3" type="noConversion"/>
  </si>
  <si>
    <t>一般房屋建築費2%</t>
    <phoneticPr fontId="3" type="noConversion"/>
  </si>
  <si>
    <t>四</t>
    <phoneticPr fontId="3" type="noConversion"/>
  </si>
  <si>
    <t>特殊設備(空調設備)</t>
    <phoneticPr fontId="3" type="noConversion"/>
  </si>
  <si>
    <t>學校申請空調費</t>
    <phoneticPr fontId="3" type="noConversion"/>
  </si>
  <si>
    <t>五</t>
    <phoneticPr fontId="3" type="noConversion"/>
  </si>
  <si>
    <t>智慧綠建築(包括智慧建築與綠建築)設施</t>
    <phoneticPr fontId="3" type="noConversion"/>
  </si>
  <si>
    <t>小計(一~五)</t>
    <phoneticPr fontId="3" type="noConversion"/>
  </si>
  <si>
    <t>項次</t>
    <phoneticPr fontId="3" type="noConversion"/>
  </si>
  <si>
    <t>數量</t>
    <phoneticPr fontId="3" type="noConversion"/>
  </si>
  <si>
    <t>備註</t>
    <phoneticPr fontId="3" type="noConversion"/>
  </si>
  <si>
    <t>間接成本、規劃設計費</t>
    <phoneticPr fontId="3" type="noConversion"/>
  </si>
  <si>
    <t>一</t>
    <phoneticPr fontId="3" type="noConversion"/>
  </si>
  <si>
    <t>工程管理費</t>
    <phoneticPr fontId="3" type="noConversion"/>
  </si>
  <si>
    <t>(包含地質鑽探費、工程保險費、水電外線補助費、規費(建造執照規費)、材料設備抽(檢)驗費等)</t>
    <phoneticPr fontId="3" type="noConversion"/>
  </si>
  <si>
    <t>三</t>
    <phoneticPr fontId="3" type="noConversion"/>
  </si>
  <si>
    <t>學校申請家具費</t>
    <phoneticPr fontId="3" type="noConversion"/>
  </si>
  <si>
    <t>五</t>
    <phoneticPr fontId="3" type="noConversion"/>
  </si>
  <si>
    <t>工程保險費</t>
    <phoneticPr fontId="3" type="noConversion"/>
  </si>
  <si>
    <t>八</t>
    <phoneticPr fontId="3" type="noConversion"/>
  </si>
  <si>
    <t>規費(建造執照規費)</t>
    <phoneticPr fontId="3" type="noConversion"/>
  </si>
  <si>
    <t>一般房屋建築費0.1%</t>
    <phoneticPr fontId="3" type="noConversion"/>
  </si>
  <si>
    <t>材料設備抽(檢)驗費</t>
    <phoneticPr fontId="3" type="noConversion"/>
  </si>
  <si>
    <t>小計(一~五)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</si>
  <si>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</si>
  <si>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</si>
  <si>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建議順序</t>
    <phoneticPr fontId="3" type="noConversion"/>
  </si>
  <si>
    <t>地上2層</t>
    <phoneticPr fontId="3" type="noConversion"/>
  </si>
  <si>
    <t>總樓地板面積(m²)</t>
    <phoneticPr fontId="3" type="noConversion"/>
  </si>
  <si>
    <t>工程經費概算表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</si>
  <si>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</si>
  <si>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</si>
  <si>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</si>
  <si>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總價(元)</t>
    <phoneticPr fontId="3" type="noConversion"/>
  </si>
  <si>
    <t>壹</t>
    <phoneticPr fontId="3" type="noConversion"/>
  </si>
  <si>
    <t>直接成本</t>
    <phoneticPr fontId="3" type="noConversion"/>
  </si>
  <si>
    <t>一</t>
    <phoneticPr fontId="3" type="noConversion"/>
  </si>
  <si>
    <t>m²</t>
    <phoneticPr fontId="3" type="noConversion"/>
  </si>
  <si>
    <t>二</t>
    <phoneticPr fontId="3" type="noConversion"/>
  </si>
  <si>
    <t>拆除工程</t>
    <phoneticPr fontId="3" type="noConversion"/>
  </si>
  <si>
    <t>品管費(含品管人員及行政管理費用)</t>
    <phoneticPr fontId="3" type="noConversion"/>
  </si>
  <si>
    <t>一般房屋建築費2%</t>
    <phoneticPr fontId="3" type="noConversion"/>
  </si>
  <si>
    <t>智慧綠建築(包括智慧建築與綠建築)設施</t>
    <phoneticPr fontId="3" type="noConversion"/>
  </si>
  <si>
    <t>式</t>
    <phoneticPr fontId="3" type="noConversion"/>
  </si>
  <si>
    <t>數量</t>
    <phoneticPr fontId="3" type="noConversion"/>
  </si>
  <si>
    <t>總價(元)</t>
    <phoneticPr fontId="3" type="noConversion"/>
  </si>
  <si>
    <t>貳</t>
    <phoneticPr fontId="3" type="noConversion"/>
  </si>
  <si>
    <t>五</t>
    <phoneticPr fontId="3" type="noConversion"/>
  </si>
  <si>
    <t>直接工程成本0.5%</t>
    <phoneticPr fontId="3" type="noConversion"/>
  </si>
  <si>
    <t>營建物價調整費</t>
    <phoneticPr fontId="3" type="noConversion"/>
  </si>
  <si>
    <t>第3年漲幅2.5%計算</t>
    <phoneticPr fontId="3" type="noConversion"/>
  </si>
  <si>
    <t>七</t>
    <phoneticPr fontId="3" type="noConversion"/>
  </si>
  <si>
    <t>水電外線補助費</t>
    <phoneticPr fontId="3" type="noConversion"/>
  </si>
  <si>
    <t>八</t>
    <phoneticPr fontId="3" type="noConversion"/>
  </si>
  <si>
    <t>規費(建造執照規費)</t>
    <phoneticPr fontId="3" type="noConversion"/>
  </si>
  <si>
    <t>一般房屋建築費0.1%</t>
    <phoneticPr fontId="3" type="noConversion"/>
  </si>
  <si>
    <t>九</t>
    <phoneticPr fontId="3" type="noConversion"/>
  </si>
  <si>
    <t>材料設備抽(檢)驗費</t>
    <phoneticPr fontId="3" type="noConversion"/>
  </si>
  <si>
    <t>一般房屋建築費1%</t>
    <phoneticPr fontId="3" type="noConversion"/>
  </si>
  <si>
    <t>公共藝術設置費</t>
    <phoneticPr fontId="3" type="noConversion"/>
  </si>
  <si>
    <t>式</t>
    <phoneticPr fontId="3" type="noConversion"/>
  </si>
  <si>
    <t>≧直接工程成本1%</t>
    <phoneticPr fontId="3" type="noConversion"/>
  </si>
  <si>
    <t>總經費(壹+貳)</t>
    <phoneticPr fontId="3" type="noConversion"/>
  </si>
  <si>
    <t>直接工程費之建築單價(元/m²)</t>
    <phoneticPr fontId="3" type="noConversion"/>
  </si>
  <si>
    <t>總工程費之建築單價(元/m²)</t>
    <phoneticPr fontId="3" type="noConversion"/>
  </si>
  <si>
    <t>一般房屋建築費≦5%</t>
    <phoneticPr fontId="3" type="noConversion"/>
  </si>
  <si>
    <t>一般房屋建築費≦5%</t>
    <phoneticPr fontId="3" type="noConversion"/>
  </si>
  <si>
    <t>一般房屋建築費≦5%</t>
    <phoneticPr fontId="3" type="noConversion"/>
  </si>
  <si>
    <t>申請學校</t>
    <phoneticPr fontId="3" type="noConversion"/>
  </si>
  <si>
    <t>建議順序</t>
    <phoneticPr fontId="3" type="noConversion"/>
  </si>
  <si>
    <t>校名</t>
    <phoneticPr fontId="3" type="noConversion"/>
  </si>
  <si>
    <t>核定面積</t>
    <phoneticPr fontId="3" type="noConversion"/>
  </si>
  <si>
    <t>核定總樓層數</t>
    <phoneticPr fontId="3" type="noConversion"/>
  </si>
  <si>
    <t>總經費</t>
    <phoneticPr fontId="3" type="noConversion"/>
  </si>
  <si>
    <t>優先</t>
    <phoneticPr fontId="3" type="noConversion"/>
  </si>
  <si>
    <t>基隆商工</t>
    <phoneticPr fontId="3" type="noConversion"/>
  </si>
  <si>
    <t>臺東高商</t>
    <phoneticPr fontId="3" type="noConversion"/>
  </si>
  <si>
    <t>嘉義家職</t>
    <phoneticPr fontId="3" type="noConversion"/>
  </si>
  <si>
    <t>興大附農</t>
    <phoneticPr fontId="3" type="noConversion"/>
  </si>
  <si>
    <t>宜蘭高中</t>
    <phoneticPr fontId="3" type="noConversion"/>
  </si>
  <si>
    <t>臺東體中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</si>
  <si>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</si>
  <si>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</si>
  <si>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</si>
  <si>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小計(一~五)</t>
    <phoneticPr fontId="3" type="noConversion"/>
  </si>
  <si>
    <t>運動科學暨圖書資訊大樓
新建工程</t>
    <phoneticPr fontId="3" type="noConversion"/>
  </si>
  <si>
    <t>國立臺東大學
附屬體育高級中學</t>
    <phoneticPr fontId="3" type="noConversion"/>
  </si>
  <si>
    <t>(包含地質鑽探費、工程保險費、水電外線補助費、規費(建造執照規費)、材料設備抽(檢)驗費等)</t>
    <phoneticPr fontId="3" type="noConversion"/>
  </si>
  <si>
    <t>合計</t>
    <phoneticPr fontId="3" type="noConversion"/>
  </si>
  <si>
    <t>地上5層、地下1層</t>
    <phoneticPr fontId="3" type="noConversion"/>
  </si>
  <si>
    <t>地上4層</t>
    <phoneticPr fontId="3" type="noConversion"/>
  </si>
  <si>
    <t>地上5層</t>
    <phoneticPr fontId="3" type="noConversion"/>
  </si>
  <si>
    <t>地上5000
地下2238.94
(學校自籌地下停車場)</t>
    <phoneticPr fontId="3" type="noConversion"/>
  </si>
  <si>
    <t>地上5層
地下1層</t>
    <phoneticPr fontId="3" type="noConversion"/>
  </si>
  <si>
    <t>地上3層</t>
    <phoneticPr fontId="3" type="noConversion"/>
  </si>
  <si>
    <t>地上2層</t>
    <phoneticPr fontId="3" type="noConversion"/>
  </si>
  <si>
    <t>學校申請地質改良費</t>
    <phoneticPr fontId="3" type="noConversion"/>
  </si>
  <si>
    <t>規劃階段作業費用</t>
    <phoneticPr fontId="3" type="noConversion"/>
  </si>
  <si>
    <t>設計階段作業費用</t>
    <phoneticPr fontId="3" type="noConversion"/>
  </si>
  <si>
    <t>規劃設計監造費</t>
    <phoneticPr fontId="3" type="noConversion"/>
  </si>
  <si>
    <t>教學(行政)空間
(總樓地板面積*80%)</t>
    <phoneticPr fontId="3" type="noConversion"/>
  </si>
  <si>
    <t>規劃階段作業費用</t>
    <phoneticPr fontId="3" type="noConversion"/>
  </si>
  <si>
    <t>設計階段作業費用</t>
    <phoneticPr fontId="3" type="noConversion"/>
  </si>
  <si>
    <t>規劃設計監造費</t>
    <phoneticPr fontId="3" type="noConversion"/>
  </si>
  <si>
    <t>教學(行政)空間
(總樓地板面積*80%)</t>
    <phoneticPr fontId="3" type="noConversion"/>
  </si>
  <si>
    <t>建議順序</t>
    <phoneticPr fontId="3" type="noConversion"/>
  </si>
  <si>
    <t>校名</t>
    <phoneticPr fontId="3" type="noConversion"/>
  </si>
  <si>
    <t>核定面積</t>
    <phoneticPr fontId="3" type="noConversion"/>
  </si>
  <si>
    <t>核定總樓層數</t>
    <phoneticPr fontId="3" type="noConversion"/>
  </si>
  <si>
    <t>總經費</t>
    <phoneticPr fontId="3" type="noConversion"/>
  </si>
  <si>
    <t>優先</t>
    <phoneticPr fontId="3" type="noConversion"/>
  </si>
  <si>
    <t>基隆商工</t>
    <phoneticPr fontId="3" type="noConversion"/>
  </si>
  <si>
    <t>地上5層</t>
    <phoneticPr fontId="3" type="noConversion"/>
  </si>
  <si>
    <t>地下1層</t>
    <phoneticPr fontId="3" type="noConversion"/>
  </si>
  <si>
    <t>臺東高商</t>
    <phoneticPr fontId="3" type="noConversion"/>
  </si>
  <si>
    <t>地上4層</t>
    <phoneticPr fontId="3" type="noConversion"/>
  </si>
  <si>
    <t>嘉義家職</t>
    <phoneticPr fontId="3" type="noConversion"/>
  </si>
  <si>
    <t>興大附農</t>
    <phoneticPr fontId="3" type="noConversion"/>
  </si>
  <si>
    <t>宜蘭高中</t>
    <phoneticPr fontId="3" type="noConversion"/>
  </si>
  <si>
    <t>地上3層</t>
    <phoneticPr fontId="3" type="noConversion"/>
  </si>
  <si>
    <t>臺東體中</t>
    <phoneticPr fontId="3" type="noConversion"/>
  </si>
  <si>
    <t>地上2層</t>
    <phoneticPr fontId="3" type="noConversion"/>
  </si>
  <si>
    <t>合計</t>
    <phoneticPr fontId="3" type="noConversion"/>
  </si>
  <si>
    <t>工程名稱</t>
    <phoneticPr fontId="3" type="noConversion"/>
  </si>
  <si>
    <t>申請
量體</t>
    <phoneticPr fontId="3" type="noConversion"/>
  </si>
  <si>
    <t>9-3</t>
    <phoneticPr fontId="3" type="noConversion"/>
  </si>
  <si>
    <t>倘欄位不足，請自行增列。</t>
    <phoneticPr fontId="3" type="noConversion"/>
  </si>
  <si>
    <t>學校名稱</t>
    <phoneticPr fontId="3" type="noConversion"/>
  </si>
  <si>
    <t>總樓地板面積
(m²)</t>
    <phoneticPr fontId="3" type="noConversion"/>
  </si>
  <si>
    <t>「國立高級中等學校新興營建工程」經費概估表</t>
    <phoneticPr fontId="3" type="noConversion"/>
  </si>
  <si>
    <t>經費表</t>
    <phoneticPr fontId="3" type="noConversion"/>
  </si>
  <si>
    <t>總工程建造經費(總計)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</si>
</sst>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4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9" fillId="0" borderId="0" xfId="0" applyFont="1">
      <alignment vertical="center"/>
    </xf>
    <xf numFmtId="176" fontId="9" fillId="0" borderId="0" xfId="1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176" fontId="4" fillId="0" borderId="7" xfId="1" applyNumberFormat="1" applyFont="1" applyBorder="1" applyAlignment="1">
      <alignment horizontal="center" vertical="center" wrapText="1"/>
    </xf>
    <xf numFmtId="176" fontId="11" fillId="0" borderId="0" xfId="1" applyNumberFormat="1" applyFont="1">
      <alignment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5" xfId="0" applyFont="1" applyBorder="1">
      <alignment vertical="center"/>
    </xf>
    <xf numFmtId="0" fontId="12" fillId="0" borderId="32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176" fontId="4" fillId="5" borderId="8" xfId="1" applyNumberFormat="1" applyFont="1" applyFill="1" applyBorder="1" applyAlignment="1">
      <alignment horizontal="center" vertical="center"/>
    </xf>
    <xf numFmtId="176" fontId="4" fillId="5" borderId="9" xfId="1" applyNumberFormat="1" applyFont="1" applyFill="1" applyBorder="1" applyAlignment="1">
      <alignment horizontal="center" vertical="center"/>
    </xf>
    <xf numFmtId="176" fontId="4" fillId="5" borderId="10" xfId="1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4" fillId="6" borderId="8" xfId="1" applyNumberFormat="1" applyFont="1" applyFill="1" applyBorder="1" applyAlignment="1">
      <alignment horizontal="center" vertical="center"/>
    </xf>
    <xf numFmtId="176" fontId="4" fillId="6" borderId="9" xfId="1" applyNumberFormat="1" applyFont="1" applyFill="1" applyBorder="1" applyAlignment="1">
      <alignment horizontal="center" vertical="center"/>
    </xf>
    <xf numFmtId="176" fontId="4" fillId="6" borderId="10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4" borderId="8" xfId="1" applyNumberFormat="1" applyFont="1" applyFill="1" applyBorder="1" applyAlignment="1">
      <alignment horizontal="right" vertical="center"/>
    </xf>
    <xf numFmtId="176" fontId="4" fillId="4" borderId="9" xfId="1" applyNumberFormat="1" applyFont="1" applyFill="1" applyBorder="1" applyAlignment="1">
      <alignment horizontal="right" vertical="center"/>
    </xf>
    <xf numFmtId="176" fontId="4" fillId="4" borderId="10" xfId="1" applyNumberFormat="1" applyFont="1" applyFill="1" applyBorder="1" applyAlignment="1">
      <alignment horizontal="right" vertical="center"/>
    </xf>
    <xf numFmtId="176" fontId="4" fillId="8" borderId="8" xfId="1" applyNumberFormat="1" applyFont="1" applyFill="1" applyBorder="1" applyAlignment="1">
      <alignment horizontal="right" vertical="center"/>
    </xf>
    <xf numFmtId="176" fontId="4" fillId="8" borderId="9" xfId="1" applyNumberFormat="1" applyFont="1" applyFill="1" applyBorder="1" applyAlignment="1">
      <alignment horizontal="right" vertical="center"/>
    </xf>
    <xf numFmtId="176" fontId="4" fillId="8" borderId="10" xfId="1" applyNumberFormat="1" applyFont="1" applyFill="1" applyBorder="1" applyAlignment="1">
      <alignment horizontal="right" vertical="center"/>
    </xf>
    <xf numFmtId="176" fontId="4" fillId="9" borderId="8" xfId="1" applyNumberFormat="1" applyFont="1" applyFill="1" applyBorder="1" applyAlignment="1">
      <alignment horizontal="center" vertical="center"/>
    </xf>
    <xf numFmtId="176" fontId="4" fillId="9" borderId="9" xfId="1" applyNumberFormat="1" applyFont="1" applyFill="1" applyBorder="1" applyAlignment="1">
      <alignment horizontal="center" vertical="center"/>
    </xf>
    <xf numFmtId="176" fontId="4" fillId="9" borderId="10" xfId="1" applyNumberFormat="1" applyFont="1" applyFill="1" applyBorder="1" applyAlignment="1">
      <alignment horizontal="center" vertical="center"/>
    </xf>
    <xf numFmtId="176" fontId="4" fillId="7" borderId="8" xfId="1" applyNumberFormat="1" applyFont="1" applyFill="1" applyBorder="1" applyAlignment="1">
      <alignment horizontal="center" vertical="center"/>
    </xf>
    <xf numFmtId="176" fontId="4" fillId="7" borderId="9" xfId="1" applyNumberFormat="1" applyFont="1" applyFill="1" applyBorder="1" applyAlignment="1">
      <alignment horizontal="center" vertical="center"/>
    </xf>
    <xf numFmtId="176" fontId="4" fillId="7" borderId="10" xfId="1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10" borderId="7" xfId="1" applyNumberFormat="1" applyFont="1" applyFill="1" applyBorder="1" applyAlignment="1">
      <alignment horizontal="center" vertical="center"/>
    </xf>
    <xf numFmtId="176" fontId="4" fillId="10" borderId="17" xfId="1" applyNumberFormat="1" applyFont="1" applyFill="1" applyBorder="1" applyAlignment="1">
      <alignment horizontal="center" vertical="center"/>
    </xf>
    <xf numFmtId="176" fontId="4" fillId="10" borderId="5" xfId="1" applyNumberFormat="1" applyFont="1" applyFill="1" applyBorder="1" applyAlignment="1">
      <alignment horizontal="center" vertical="center"/>
    </xf>
    <xf numFmtId="176" fontId="4" fillId="10" borderId="6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8" borderId="2" xfId="1" applyNumberFormat="1" applyFont="1" applyFill="1" applyBorder="1" applyAlignment="1">
      <alignment horizontal="center" vertical="center"/>
    </xf>
    <xf numFmtId="176" fontId="4" fillId="8" borderId="3" xfId="1" applyNumberFormat="1" applyFont="1" applyFill="1" applyBorder="1" applyAlignment="1">
      <alignment horizontal="center" vertical="center"/>
    </xf>
    <xf numFmtId="176" fontId="4" fillId="8" borderId="7" xfId="1" applyNumberFormat="1" applyFont="1" applyFill="1" applyBorder="1" applyAlignment="1">
      <alignment horizontal="center" vertical="center"/>
    </xf>
    <xf numFmtId="176" fontId="4" fillId="8" borderId="17" xfId="1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right" vertical="center"/>
    </xf>
    <xf numFmtId="1" fontId="4" fillId="5" borderId="9" xfId="0" applyNumberFormat="1" applyFont="1" applyFill="1" applyBorder="1" applyAlignment="1">
      <alignment horizontal="right" vertical="center"/>
    </xf>
    <xf numFmtId="1" fontId="4" fillId="5" borderId="10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8" borderId="8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horizontal="right" vertical="center"/>
    </xf>
    <xf numFmtId="0" fontId="4" fillId="8" borderId="10" xfId="0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176" fontId="4" fillId="0" borderId="9" xfId="1" applyNumberFormat="1" applyFont="1" applyBorder="1" applyAlignment="1">
      <alignment horizontal="center" vertical="center" wrapText="1"/>
    </xf>
    <xf numFmtId="176" fontId="4" fillId="0" borderId="10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176" fontId="11" fillId="8" borderId="5" xfId="0" applyNumberFormat="1" applyFont="1" applyFill="1" applyBorder="1" applyAlignment="1">
      <alignment horizontal="center" vertical="center"/>
    </xf>
    <xf numFmtId="176" fontId="11" fillId="8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8" borderId="41" xfId="1" applyNumberFormat="1" applyFont="1" applyFill="1" applyBorder="1" applyAlignment="1">
      <alignment horizontal="right" vertical="center"/>
    </xf>
    <xf numFmtId="176" fontId="4" fillId="8" borderId="42" xfId="1" applyNumberFormat="1" applyFont="1" applyFill="1" applyBorder="1" applyAlignment="1">
      <alignment horizontal="right" vertical="center"/>
    </xf>
    <xf numFmtId="176" fontId="4" fillId="9" borderId="5" xfId="1" applyNumberFormat="1" applyFont="1" applyFill="1" applyBorder="1" applyAlignment="1">
      <alignment horizontal="center" vertical="center"/>
    </xf>
    <xf numFmtId="176" fontId="4" fillId="9" borderId="6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zoomScale="60"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5" max="5" width="10.625" customWidth="1"/>
    <col min="12" max="12" width="30.625" customWidth="1"/>
    <col min="14" max="14" width="14.75" style="19" bestFit="1" customWidth="1"/>
  </cols>
  <sheetData>
    <row r="1" spans="1:14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7.2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30" customHeight="1" x14ac:dyDescent="0.25">
      <c r="A3" s="45" t="s">
        <v>1</v>
      </c>
      <c r="B3" s="47" t="s">
        <v>2</v>
      </c>
      <c r="C3" s="1" t="s">
        <v>3</v>
      </c>
      <c r="D3" s="49" t="s">
        <v>4</v>
      </c>
      <c r="E3" s="49"/>
      <c r="F3" s="49"/>
      <c r="G3" s="49"/>
      <c r="H3" s="50" t="s">
        <v>5</v>
      </c>
      <c r="I3" s="2" t="s">
        <v>6</v>
      </c>
      <c r="J3" s="52" t="s">
        <v>7</v>
      </c>
      <c r="K3" s="52"/>
      <c r="L3" s="53"/>
    </row>
    <row r="4" spans="1:14" ht="57" thickBot="1" x14ac:dyDescent="0.3">
      <c r="A4" s="46"/>
      <c r="B4" s="48"/>
      <c r="C4" s="3" t="s">
        <v>8</v>
      </c>
      <c r="D4" s="54" t="s">
        <v>9</v>
      </c>
      <c r="E4" s="54"/>
      <c r="F4" s="54"/>
      <c r="G4" s="54"/>
      <c r="H4" s="51"/>
      <c r="I4" s="4" t="s">
        <v>10</v>
      </c>
      <c r="J4" s="55" t="s">
        <v>11</v>
      </c>
      <c r="K4" s="56"/>
      <c r="L4" s="57"/>
    </row>
    <row r="5" spans="1:14" x14ac:dyDescent="0.25">
      <c r="A5" s="58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4" ht="24.95" customHeight="1" x14ac:dyDescent="0.25">
      <c r="A7" s="5" t="s">
        <v>13</v>
      </c>
      <c r="B7" s="60" t="s">
        <v>14</v>
      </c>
      <c r="C7" s="60"/>
      <c r="D7" s="5" t="s">
        <v>15</v>
      </c>
      <c r="E7" s="6" t="s">
        <v>16</v>
      </c>
      <c r="F7" s="40" t="s">
        <v>17</v>
      </c>
      <c r="G7" s="41"/>
      <c r="H7" s="42"/>
      <c r="I7" s="43" t="s">
        <v>18</v>
      </c>
      <c r="J7" s="43"/>
      <c r="K7" s="43"/>
      <c r="L7" s="5" t="s">
        <v>19</v>
      </c>
    </row>
    <row r="8" spans="1:14" ht="24.95" customHeight="1" x14ac:dyDescent="0.25">
      <c r="A8" s="7" t="s">
        <v>20</v>
      </c>
      <c r="B8" s="61" t="s">
        <v>21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4" ht="30" customHeight="1" x14ac:dyDescent="0.25">
      <c r="A9" s="8" t="s">
        <v>22</v>
      </c>
      <c r="B9" s="39" t="s">
        <v>23</v>
      </c>
      <c r="C9" s="39"/>
      <c r="D9" s="5" t="s">
        <v>24</v>
      </c>
      <c r="E9" s="6">
        <v>4850</v>
      </c>
      <c r="F9" s="40">
        <v>18850</v>
      </c>
      <c r="G9" s="41"/>
      <c r="H9" s="42"/>
      <c r="I9" s="43">
        <f>F9*E9</f>
        <v>91422500</v>
      </c>
      <c r="J9" s="43"/>
      <c r="K9" s="43"/>
      <c r="L9" s="9"/>
      <c r="N9" s="19">
        <v>91422500</v>
      </c>
    </row>
    <row r="10" spans="1:14" ht="30" customHeight="1" x14ac:dyDescent="0.25">
      <c r="A10" s="8" t="s">
        <v>25</v>
      </c>
      <c r="B10" s="39" t="s">
        <v>26</v>
      </c>
      <c r="C10" s="39"/>
      <c r="D10" s="5" t="s">
        <v>27</v>
      </c>
      <c r="E10" s="6"/>
      <c r="F10" s="40">
        <v>600</v>
      </c>
      <c r="G10" s="41"/>
      <c r="H10" s="42"/>
      <c r="I10" s="43">
        <f>SUM(F10*E10)</f>
        <v>0</v>
      </c>
      <c r="J10" s="43"/>
      <c r="K10" s="43"/>
      <c r="L10" s="10" t="s">
        <v>28</v>
      </c>
    </row>
    <row r="11" spans="1:14" ht="30" customHeight="1" x14ac:dyDescent="0.25">
      <c r="A11" s="8" t="s">
        <v>29</v>
      </c>
      <c r="B11" s="62" t="s">
        <v>30</v>
      </c>
      <c r="C11" s="63"/>
      <c r="D11" s="5" t="s">
        <v>31</v>
      </c>
      <c r="E11" s="6">
        <v>650</v>
      </c>
      <c r="F11" s="40">
        <v>9425</v>
      </c>
      <c r="G11" s="41"/>
      <c r="H11" s="42"/>
      <c r="I11" s="40">
        <f>F11*E11</f>
        <v>6126250</v>
      </c>
      <c r="J11" s="41"/>
      <c r="K11" s="42"/>
      <c r="L11" s="10" t="s">
        <v>32</v>
      </c>
    </row>
    <row r="12" spans="1:14" ht="30" customHeight="1" x14ac:dyDescent="0.25">
      <c r="A12" s="5" t="s">
        <v>33</v>
      </c>
      <c r="B12" s="64" t="s">
        <v>34</v>
      </c>
      <c r="C12" s="64"/>
      <c r="D12" s="5" t="s">
        <v>35</v>
      </c>
      <c r="E12" s="6">
        <v>1</v>
      </c>
      <c r="F12" s="40">
        <f>I12</f>
        <v>1000000</v>
      </c>
      <c r="G12" s="41"/>
      <c r="H12" s="42"/>
      <c r="I12" s="43">
        <v>1000000</v>
      </c>
      <c r="J12" s="43"/>
      <c r="K12" s="43"/>
      <c r="L12" s="8" t="s">
        <v>36</v>
      </c>
    </row>
    <row r="13" spans="1:14" ht="54.95" customHeight="1" x14ac:dyDescent="0.25">
      <c r="A13" s="5" t="s">
        <v>37</v>
      </c>
      <c r="B13" s="64" t="s">
        <v>38</v>
      </c>
      <c r="C13" s="64"/>
      <c r="D13" s="5" t="s">
        <v>39</v>
      </c>
      <c r="E13" s="6">
        <v>1</v>
      </c>
      <c r="F13" s="40">
        <f>I13</f>
        <v>4570250</v>
      </c>
      <c r="G13" s="41"/>
      <c r="H13" s="42"/>
      <c r="I13" s="43">
        <v>4570250</v>
      </c>
      <c r="J13" s="43"/>
      <c r="K13" s="43"/>
      <c r="L13" s="5" t="s">
        <v>358</v>
      </c>
      <c r="M13">
        <v>457125</v>
      </c>
    </row>
    <row r="14" spans="1:14" ht="30" customHeight="1" x14ac:dyDescent="0.25">
      <c r="A14" s="65" t="s">
        <v>40</v>
      </c>
      <c r="B14" s="66"/>
      <c r="C14" s="66"/>
      <c r="D14" s="66"/>
      <c r="E14" s="66"/>
      <c r="F14" s="66"/>
      <c r="G14" s="66"/>
      <c r="H14" s="67"/>
      <c r="I14" s="68">
        <f>SUM(I9:K13)</f>
        <v>103119000</v>
      </c>
      <c r="J14" s="69"/>
      <c r="K14" s="69"/>
      <c r="L14" s="70"/>
    </row>
    <row r="15" spans="1:14" ht="19.5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4" ht="24.95" customHeight="1" x14ac:dyDescent="0.25">
      <c r="A16" s="5" t="s">
        <v>41</v>
      </c>
      <c r="B16" s="60" t="s">
        <v>42</v>
      </c>
      <c r="C16" s="60"/>
      <c r="D16" s="5" t="s">
        <v>43</v>
      </c>
      <c r="E16" s="6" t="s">
        <v>44</v>
      </c>
      <c r="F16" s="40" t="s">
        <v>45</v>
      </c>
      <c r="G16" s="41"/>
      <c r="H16" s="42"/>
      <c r="I16" s="43" t="s">
        <v>46</v>
      </c>
      <c r="J16" s="43"/>
      <c r="K16" s="43"/>
      <c r="L16" s="5" t="s">
        <v>47</v>
      </c>
    </row>
    <row r="17" spans="1:20" ht="24.95" customHeight="1" x14ac:dyDescent="0.25">
      <c r="A17" s="7" t="s">
        <v>48</v>
      </c>
      <c r="B17" s="61" t="s">
        <v>49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O17" s="93">
        <f>M18+I22+I24+I25+I26+250000</f>
        <v>2961841.5</v>
      </c>
      <c r="P17" s="93"/>
    </row>
    <row r="18" spans="1:20" ht="90" customHeight="1" x14ac:dyDescent="0.25">
      <c r="A18" s="5" t="s">
        <v>50</v>
      </c>
      <c r="B18" s="62" t="s">
        <v>51</v>
      </c>
      <c r="C18" s="63"/>
      <c r="D18" s="5" t="s">
        <v>35</v>
      </c>
      <c r="E18" s="6">
        <v>1</v>
      </c>
      <c r="F18" s="40">
        <f>I18</f>
        <v>2961841.5</v>
      </c>
      <c r="G18" s="41"/>
      <c r="H18" s="42"/>
      <c r="I18" s="74">
        <f>O17</f>
        <v>2961841.5</v>
      </c>
      <c r="J18" s="75"/>
      <c r="K18" s="76"/>
      <c r="L18" s="11" t="s">
        <v>52</v>
      </c>
      <c r="M18">
        <v>990599</v>
      </c>
      <c r="O18" s="80" t="s">
        <v>79</v>
      </c>
      <c r="P18" s="80"/>
      <c r="Q18" s="80" t="s">
        <v>80</v>
      </c>
      <c r="R18" s="80"/>
      <c r="S18" s="80" t="s">
        <v>81</v>
      </c>
      <c r="T18" s="80"/>
    </row>
    <row r="19" spans="1:20" ht="30" customHeight="1" x14ac:dyDescent="0.25">
      <c r="A19" s="5" t="s">
        <v>53</v>
      </c>
      <c r="B19" s="62" t="s">
        <v>54</v>
      </c>
      <c r="C19" s="63"/>
      <c r="D19" s="5" t="s">
        <v>35</v>
      </c>
      <c r="E19" s="6">
        <v>1</v>
      </c>
      <c r="F19" s="40">
        <f>I19</f>
        <v>6633514</v>
      </c>
      <c r="G19" s="41"/>
      <c r="H19" s="42"/>
      <c r="I19" s="74">
        <v>6633514</v>
      </c>
      <c r="J19" s="75"/>
      <c r="K19" s="76"/>
      <c r="L19" s="9"/>
      <c r="O19" s="80">
        <f>SUM(I14*0.023)</f>
        <v>2371737</v>
      </c>
      <c r="P19" s="80"/>
      <c r="Q19" s="80">
        <f>SUM(I14*0.04)</f>
        <v>4124760</v>
      </c>
      <c r="R19" s="80"/>
      <c r="S19" s="80">
        <f>SUM(Q19+O19)</f>
        <v>6496497</v>
      </c>
      <c r="T19" s="80"/>
    </row>
    <row r="20" spans="1:20" ht="30" customHeight="1" x14ac:dyDescent="0.25">
      <c r="A20" s="5" t="s">
        <v>29</v>
      </c>
      <c r="B20" s="62" t="s">
        <v>55</v>
      </c>
      <c r="C20" s="63"/>
      <c r="D20" s="5" t="s">
        <v>35</v>
      </c>
      <c r="E20" s="6">
        <v>1</v>
      </c>
      <c r="F20" s="40">
        <v>2000000</v>
      </c>
      <c r="G20" s="41"/>
      <c r="H20" s="42"/>
      <c r="I20" s="77">
        <v>2000000</v>
      </c>
      <c r="J20" s="78"/>
      <c r="K20" s="79"/>
      <c r="L20" s="20" t="s">
        <v>388</v>
      </c>
      <c r="O20" s="80" t="s">
        <v>82</v>
      </c>
      <c r="P20" s="80"/>
      <c r="Q20" s="80"/>
      <c r="R20" s="80"/>
    </row>
    <row r="21" spans="1:20" ht="30" customHeight="1" x14ac:dyDescent="0.25">
      <c r="A21" s="5" t="s">
        <v>56</v>
      </c>
      <c r="B21" s="62" t="s">
        <v>57</v>
      </c>
      <c r="C21" s="63"/>
      <c r="D21" s="5" t="s">
        <v>35</v>
      </c>
      <c r="E21" s="6">
        <v>1</v>
      </c>
      <c r="F21" s="40">
        <f>I21</f>
        <v>2000000</v>
      </c>
      <c r="G21" s="41"/>
      <c r="H21" s="42"/>
      <c r="I21" s="77">
        <v>2000000</v>
      </c>
      <c r="J21" s="78"/>
      <c r="K21" s="79"/>
      <c r="L21" s="8" t="s">
        <v>58</v>
      </c>
      <c r="O21" s="80">
        <f>4200*80%</f>
        <v>3360</v>
      </c>
      <c r="P21" s="80"/>
      <c r="Q21" s="80">
        <f>O21*3000</f>
        <v>10080000</v>
      </c>
      <c r="R21" s="80"/>
    </row>
    <row r="22" spans="1:20" ht="18.75" hidden="1" x14ac:dyDescent="0.25">
      <c r="A22" s="5" t="s">
        <v>59</v>
      </c>
      <c r="B22" s="62" t="s">
        <v>60</v>
      </c>
      <c r="C22" s="63"/>
      <c r="D22" s="5" t="s">
        <v>35</v>
      </c>
      <c r="E22" s="6">
        <v>1</v>
      </c>
      <c r="F22" s="40">
        <v>355306.25</v>
      </c>
      <c r="G22" s="41"/>
      <c r="H22" s="42"/>
      <c r="I22" s="40">
        <f>I14*0.5%</f>
        <v>515595</v>
      </c>
      <c r="J22" s="41"/>
      <c r="K22" s="42"/>
      <c r="L22" s="5" t="s">
        <v>61</v>
      </c>
    </row>
    <row r="23" spans="1:20" ht="30" customHeight="1" x14ac:dyDescent="0.25">
      <c r="A23" s="5" t="s">
        <v>37</v>
      </c>
      <c r="B23" s="62" t="s">
        <v>62</v>
      </c>
      <c r="C23" s="63"/>
      <c r="D23" s="5" t="s">
        <v>35</v>
      </c>
      <c r="E23" s="6">
        <v>1</v>
      </c>
      <c r="F23" s="40">
        <f>I23</f>
        <v>3532370</v>
      </c>
      <c r="G23" s="41"/>
      <c r="H23" s="42"/>
      <c r="I23" s="40">
        <v>3532370</v>
      </c>
      <c r="J23" s="41"/>
      <c r="K23" s="42"/>
      <c r="L23" s="5" t="s">
        <v>63</v>
      </c>
      <c r="M23">
        <v>3532369.5750000002</v>
      </c>
      <c r="O23" s="94">
        <f>I18+I19+I20+I21+I27</f>
        <v>14626629.5</v>
      </c>
      <c r="P23" s="80"/>
      <c r="Q23" s="80">
        <f>SUM(I14+O23)*(1.03-1)</f>
        <v>3532368.885000003</v>
      </c>
      <c r="R23" s="80"/>
    </row>
    <row r="24" spans="1:20" ht="18.75" hidden="1" x14ac:dyDescent="0.25">
      <c r="A24" s="5" t="s">
        <v>64</v>
      </c>
      <c r="B24" s="62" t="s">
        <v>65</v>
      </c>
      <c r="C24" s="63"/>
      <c r="D24" s="5" t="s">
        <v>35</v>
      </c>
      <c r="E24" s="6">
        <v>1</v>
      </c>
      <c r="F24" s="40">
        <v>200000</v>
      </c>
      <c r="G24" s="41"/>
      <c r="H24" s="42"/>
      <c r="I24" s="90">
        <v>200000</v>
      </c>
      <c r="J24" s="91"/>
      <c r="K24" s="92"/>
      <c r="L24" s="5"/>
    </row>
    <row r="25" spans="1:20" ht="18.75" hidden="1" x14ac:dyDescent="0.25">
      <c r="A25" s="5" t="s">
        <v>66</v>
      </c>
      <c r="B25" s="62" t="s">
        <v>67</v>
      </c>
      <c r="C25" s="63"/>
      <c r="D25" s="5" t="s">
        <v>35</v>
      </c>
      <c r="E25" s="6">
        <v>1</v>
      </c>
      <c r="F25" s="40">
        <f>I25</f>
        <v>91422.5</v>
      </c>
      <c r="G25" s="41"/>
      <c r="H25" s="42"/>
      <c r="I25" s="40">
        <f>I9*0.1%</f>
        <v>91422.5</v>
      </c>
      <c r="J25" s="41"/>
      <c r="K25" s="42"/>
      <c r="L25" s="5" t="s">
        <v>68</v>
      </c>
    </row>
    <row r="26" spans="1:20" ht="18.75" hidden="1" x14ac:dyDescent="0.25">
      <c r="A26" s="5" t="s">
        <v>69</v>
      </c>
      <c r="B26" s="62" t="s">
        <v>70</v>
      </c>
      <c r="C26" s="63"/>
      <c r="D26" s="5" t="s">
        <v>35</v>
      </c>
      <c r="E26" s="6">
        <v>1</v>
      </c>
      <c r="F26" s="40">
        <f>I26</f>
        <v>914225</v>
      </c>
      <c r="G26" s="41"/>
      <c r="H26" s="42"/>
      <c r="I26" s="40">
        <f>I9*1%</f>
        <v>914225</v>
      </c>
      <c r="J26" s="41"/>
      <c r="K26" s="42"/>
      <c r="L26" s="5" t="s">
        <v>71</v>
      </c>
    </row>
    <row r="27" spans="1:20" ht="30" customHeight="1" x14ac:dyDescent="0.25">
      <c r="A27" s="5" t="s">
        <v>72</v>
      </c>
      <c r="B27" s="62" t="s">
        <v>73</v>
      </c>
      <c r="C27" s="63"/>
      <c r="D27" s="5" t="s">
        <v>39</v>
      </c>
      <c r="E27" s="6">
        <v>1</v>
      </c>
      <c r="F27" s="40">
        <f>I27</f>
        <v>1031274</v>
      </c>
      <c r="G27" s="41"/>
      <c r="H27" s="42"/>
      <c r="I27" s="40">
        <f>M27+O27</f>
        <v>1031274</v>
      </c>
      <c r="J27" s="41"/>
      <c r="K27" s="42"/>
      <c r="L27" s="5" t="s">
        <v>74</v>
      </c>
      <c r="M27">
        <v>1031190</v>
      </c>
      <c r="N27" s="19">
        <f>I14*0.01</f>
        <v>1031190</v>
      </c>
      <c r="O27">
        <v>84</v>
      </c>
    </row>
    <row r="28" spans="1:20" ht="30" customHeight="1" x14ac:dyDescent="0.25">
      <c r="A28" s="81" t="s">
        <v>75</v>
      </c>
      <c r="B28" s="82"/>
      <c r="C28" s="82"/>
      <c r="D28" s="82"/>
      <c r="E28" s="82"/>
      <c r="F28" s="82"/>
      <c r="G28" s="82"/>
      <c r="H28" s="83"/>
      <c r="I28" s="68">
        <f>I18+I19+I20+I21+I23+I27</f>
        <v>18158999.5</v>
      </c>
      <c r="J28" s="69"/>
      <c r="K28" s="69"/>
      <c r="L28" s="70"/>
    </row>
    <row r="29" spans="1:20" ht="18.7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20" ht="30" customHeight="1" x14ac:dyDescent="0.25">
      <c r="A30" s="84" t="s">
        <v>76</v>
      </c>
      <c r="B30" s="85"/>
      <c r="C30" s="85"/>
      <c r="D30" s="85"/>
      <c r="E30" s="85"/>
      <c r="F30" s="85"/>
      <c r="G30" s="85"/>
      <c r="H30" s="86"/>
      <c r="I30" s="87">
        <f>SUM(I14+I28)</f>
        <v>121277999.5</v>
      </c>
      <c r="J30" s="88"/>
      <c r="K30" s="88"/>
      <c r="L30" s="89"/>
    </row>
    <row r="31" spans="1:20" ht="20.25" thickBot="1" x14ac:dyDescent="0.3">
      <c r="A31" s="12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2"/>
    </row>
    <row r="32" spans="1:20" ht="19.5" x14ac:dyDescent="0.25">
      <c r="A32" s="12"/>
      <c r="B32" s="12"/>
      <c r="C32" s="12"/>
      <c r="D32" s="105" t="s">
        <v>77</v>
      </c>
      <c r="E32" s="106"/>
      <c r="F32" s="106"/>
      <c r="G32" s="106"/>
      <c r="H32" s="107"/>
      <c r="I32" s="111">
        <f>SUM(I14/4850)</f>
        <v>21261.649484536083</v>
      </c>
      <c r="J32" s="111"/>
      <c r="K32" s="111"/>
      <c r="L32" s="112"/>
    </row>
    <row r="33" spans="1:12" ht="19.5" x14ac:dyDescent="0.25">
      <c r="A33" s="12"/>
      <c r="B33" s="12"/>
      <c r="C33" s="12"/>
      <c r="D33" s="108"/>
      <c r="E33" s="109"/>
      <c r="F33" s="109"/>
      <c r="G33" s="109"/>
      <c r="H33" s="110"/>
      <c r="I33" s="113"/>
      <c r="J33" s="113"/>
      <c r="K33" s="113"/>
      <c r="L33" s="114"/>
    </row>
    <row r="34" spans="1:12" ht="19.5" x14ac:dyDescent="0.25">
      <c r="A34" s="12"/>
      <c r="B34" s="12"/>
      <c r="C34" s="12"/>
      <c r="D34" s="95" t="s">
        <v>78</v>
      </c>
      <c r="E34" s="96"/>
      <c r="F34" s="96"/>
      <c r="G34" s="96"/>
      <c r="H34" s="97"/>
      <c r="I34" s="101">
        <f>SUM(I30/4850)</f>
        <v>25005.773092783504</v>
      </c>
      <c r="J34" s="101"/>
      <c r="K34" s="101"/>
      <c r="L34" s="102"/>
    </row>
    <row r="35" spans="1:12" ht="20.25" thickBot="1" x14ac:dyDescent="0.3">
      <c r="A35" s="12"/>
      <c r="B35" s="12"/>
      <c r="C35" s="12"/>
      <c r="D35" s="98"/>
      <c r="E35" s="99"/>
      <c r="F35" s="99"/>
      <c r="G35" s="99"/>
      <c r="H35" s="100"/>
      <c r="I35" s="103"/>
      <c r="J35" s="103"/>
      <c r="K35" s="103"/>
      <c r="L35" s="104"/>
    </row>
  </sheetData>
  <mergeCells count="86">
    <mergeCell ref="O21:P21"/>
    <mergeCell ref="Q21:R21"/>
    <mergeCell ref="O23:P23"/>
    <mergeCell ref="Q23:R23"/>
    <mergeCell ref="D34:H35"/>
    <mergeCell ref="I34:L35"/>
    <mergeCell ref="D32:H33"/>
    <mergeCell ref="I32:L33"/>
    <mergeCell ref="F25:H25"/>
    <mergeCell ref="I25:K25"/>
    <mergeCell ref="O17:P17"/>
    <mergeCell ref="O18:P18"/>
    <mergeCell ref="Q18:R18"/>
    <mergeCell ref="S18:T18"/>
    <mergeCell ref="O19:P19"/>
    <mergeCell ref="Q19:R19"/>
    <mergeCell ref="S19:T19"/>
    <mergeCell ref="O20:R20"/>
    <mergeCell ref="A28:H28"/>
    <mergeCell ref="I28:L28"/>
    <mergeCell ref="A29:L29"/>
    <mergeCell ref="A30:H30"/>
    <mergeCell ref="I30:L30"/>
    <mergeCell ref="B26:C26"/>
    <mergeCell ref="F26:H26"/>
    <mergeCell ref="I26:K26"/>
    <mergeCell ref="B27:C27"/>
    <mergeCell ref="F27:H27"/>
    <mergeCell ref="I27:K27"/>
    <mergeCell ref="B24:C24"/>
    <mergeCell ref="F24:H24"/>
    <mergeCell ref="I24:K24"/>
    <mergeCell ref="B25:C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L17"/>
    <mergeCell ref="B18:C18"/>
    <mergeCell ref="F18:H18"/>
    <mergeCell ref="I18:K18"/>
    <mergeCell ref="B19:C19"/>
    <mergeCell ref="F19:H19"/>
    <mergeCell ref="I19:K19"/>
    <mergeCell ref="A14:H14"/>
    <mergeCell ref="I14:L14"/>
    <mergeCell ref="A15:L15"/>
    <mergeCell ref="B16:C16"/>
    <mergeCell ref="F16:H16"/>
    <mergeCell ref="I16:K16"/>
    <mergeCell ref="B12:C12"/>
    <mergeCell ref="F12:H12"/>
    <mergeCell ref="I12:K12"/>
    <mergeCell ref="B13:C13"/>
    <mergeCell ref="F13:H13"/>
    <mergeCell ref="I13:K13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</mergeCells>
  <phoneticPr fontId="3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zoomScale="60"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5" max="5" width="10.625" customWidth="1"/>
    <col min="12" max="12" width="30.625" customWidth="1"/>
  </cols>
  <sheetData>
    <row r="1" spans="1:12" x14ac:dyDescent="0.25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0" customHeight="1" x14ac:dyDescent="0.25">
      <c r="A3" s="115" t="s">
        <v>84</v>
      </c>
      <c r="B3" s="117">
        <v>1</v>
      </c>
      <c r="C3" s="14" t="s">
        <v>85</v>
      </c>
      <c r="D3" s="119" t="s">
        <v>86</v>
      </c>
      <c r="E3" s="120"/>
      <c r="F3" s="120"/>
      <c r="G3" s="121"/>
      <c r="H3" s="122" t="s">
        <v>87</v>
      </c>
      <c r="I3" s="2" t="s">
        <v>88</v>
      </c>
      <c r="J3" s="124" t="s">
        <v>89</v>
      </c>
      <c r="K3" s="125"/>
      <c r="L3" s="126"/>
    </row>
    <row r="4" spans="1:12" ht="57" thickBot="1" x14ac:dyDescent="0.3">
      <c r="A4" s="116"/>
      <c r="B4" s="118"/>
      <c r="C4" s="3" t="s">
        <v>90</v>
      </c>
      <c r="D4" s="56" t="s">
        <v>91</v>
      </c>
      <c r="E4" s="56"/>
      <c r="F4" s="56"/>
      <c r="G4" s="56"/>
      <c r="H4" s="123"/>
      <c r="I4" s="4" t="s">
        <v>92</v>
      </c>
      <c r="J4" s="127">
        <v>3100</v>
      </c>
      <c r="K4" s="56"/>
      <c r="L4" s="57"/>
    </row>
    <row r="5" spans="1:12" x14ac:dyDescent="0.25">
      <c r="A5" s="58" t="s">
        <v>93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4.95" customHeight="1" x14ac:dyDescent="0.25">
      <c r="A7" s="5" t="s">
        <v>94</v>
      </c>
      <c r="B7" s="60" t="s">
        <v>95</v>
      </c>
      <c r="C7" s="60"/>
      <c r="D7" s="5" t="s">
        <v>96</v>
      </c>
      <c r="E7" s="6" t="s">
        <v>97</v>
      </c>
      <c r="F7" s="43" t="s">
        <v>98</v>
      </c>
      <c r="G7" s="43"/>
      <c r="H7" s="43"/>
      <c r="I7" s="43" t="s">
        <v>99</v>
      </c>
      <c r="J7" s="43"/>
      <c r="K7" s="43"/>
      <c r="L7" s="5" t="s">
        <v>100</v>
      </c>
    </row>
    <row r="8" spans="1:12" ht="24.95" customHeight="1" x14ac:dyDescent="0.25">
      <c r="A8" s="7" t="s">
        <v>101</v>
      </c>
      <c r="B8" s="61" t="s">
        <v>102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30" customHeight="1" x14ac:dyDescent="0.25">
      <c r="A9" s="8" t="s">
        <v>103</v>
      </c>
      <c r="B9" s="39" t="s">
        <v>104</v>
      </c>
      <c r="C9" s="39"/>
      <c r="D9" s="5" t="s">
        <v>105</v>
      </c>
      <c r="E9" s="6">
        <v>3100</v>
      </c>
      <c r="F9" s="43">
        <v>18850</v>
      </c>
      <c r="G9" s="43"/>
      <c r="H9" s="43"/>
      <c r="I9" s="43">
        <f>F9*E9</f>
        <v>58435000</v>
      </c>
      <c r="J9" s="43"/>
      <c r="K9" s="43"/>
      <c r="L9" s="15"/>
    </row>
    <row r="10" spans="1:12" ht="30" customHeight="1" x14ac:dyDescent="0.25">
      <c r="A10" s="8" t="s">
        <v>106</v>
      </c>
      <c r="B10" s="39" t="s">
        <v>107</v>
      </c>
      <c r="C10" s="39"/>
      <c r="D10" s="5" t="s">
        <v>108</v>
      </c>
      <c r="E10" s="6"/>
      <c r="F10" s="40">
        <v>600</v>
      </c>
      <c r="G10" s="41"/>
      <c r="H10" s="42"/>
      <c r="I10" s="43">
        <f>SUM(F10*E10)</f>
        <v>0</v>
      </c>
      <c r="J10" s="43"/>
      <c r="K10" s="43"/>
      <c r="L10" s="5"/>
    </row>
    <row r="11" spans="1:12" ht="56.25" hidden="1" x14ac:dyDescent="0.25">
      <c r="A11" s="8" t="s">
        <v>109</v>
      </c>
      <c r="B11" s="64" t="s">
        <v>110</v>
      </c>
      <c r="C11" s="64"/>
      <c r="D11" s="5" t="s">
        <v>35</v>
      </c>
      <c r="E11" s="6">
        <v>1</v>
      </c>
      <c r="F11" s="43">
        <v>1168700</v>
      </c>
      <c r="G11" s="43"/>
      <c r="H11" s="43"/>
      <c r="I11" s="43">
        <f>I9*2%</f>
        <v>1168700</v>
      </c>
      <c r="J11" s="43"/>
      <c r="K11" s="43"/>
      <c r="L11" s="8" t="s">
        <v>111</v>
      </c>
    </row>
    <row r="12" spans="1:12" ht="30" customHeight="1" x14ac:dyDescent="0.25">
      <c r="A12" s="5" t="s">
        <v>112</v>
      </c>
      <c r="B12" s="64" t="s">
        <v>113</v>
      </c>
      <c r="C12" s="64"/>
      <c r="D12" s="5" t="s">
        <v>35</v>
      </c>
      <c r="E12" s="6">
        <v>1</v>
      </c>
      <c r="F12" s="43">
        <f>I12</f>
        <v>3000000</v>
      </c>
      <c r="G12" s="43"/>
      <c r="H12" s="43"/>
      <c r="I12" s="43">
        <v>3000000</v>
      </c>
      <c r="J12" s="43"/>
      <c r="K12" s="43"/>
      <c r="L12" s="8" t="s">
        <v>114</v>
      </c>
    </row>
    <row r="13" spans="1:12" ht="54.95" customHeight="1" x14ac:dyDescent="0.25">
      <c r="A13" s="5" t="s">
        <v>115</v>
      </c>
      <c r="B13" s="64" t="s">
        <v>116</v>
      </c>
      <c r="C13" s="64"/>
      <c r="D13" s="5" t="s">
        <v>117</v>
      </c>
      <c r="E13" s="6">
        <v>1</v>
      </c>
      <c r="F13" s="43">
        <f>I13</f>
        <v>2921000</v>
      </c>
      <c r="G13" s="43"/>
      <c r="H13" s="43"/>
      <c r="I13" s="43">
        <v>2921000</v>
      </c>
      <c r="J13" s="43"/>
      <c r="K13" s="43"/>
      <c r="L13" s="5" t="s">
        <v>357</v>
      </c>
    </row>
    <row r="14" spans="1:12" ht="30" customHeight="1" x14ac:dyDescent="0.25">
      <c r="A14" s="65" t="s">
        <v>118</v>
      </c>
      <c r="B14" s="66"/>
      <c r="C14" s="66"/>
      <c r="D14" s="66"/>
      <c r="E14" s="66"/>
      <c r="F14" s="66"/>
      <c r="G14" s="66"/>
      <c r="H14" s="67"/>
      <c r="I14" s="68">
        <f>I9+I12+I13</f>
        <v>64356000</v>
      </c>
      <c r="J14" s="69"/>
      <c r="K14" s="69"/>
      <c r="L14" s="70"/>
    </row>
    <row r="15" spans="1:12" ht="19.5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ht="24.95" customHeight="1" x14ac:dyDescent="0.25">
      <c r="A16" s="5" t="s">
        <v>119</v>
      </c>
      <c r="B16" s="60" t="s">
        <v>120</v>
      </c>
      <c r="C16" s="60"/>
      <c r="D16" s="5" t="s">
        <v>121</v>
      </c>
      <c r="E16" s="6" t="s">
        <v>97</v>
      </c>
      <c r="F16" s="43" t="s">
        <v>122</v>
      </c>
      <c r="G16" s="43"/>
      <c r="H16" s="43"/>
      <c r="I16" s="43" t="s">
        <v>123</v>
      </c>
      <c r="J16" s="43"/>
      <c r="K16" s="43"/>
      <c r="L16" s="5" t="s">
        <v>124</v>
      </c>
    </row>
    <row r="17" spans="1:20" ht="24.95" customHeight="1" x14ac:dyDescent="0.25">
      <c r="A17" s="7" t="s">
        <v>125</v>
      </c>
      <c r="B17" s="61" t="s">
        <v>126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O17" s="93">
        <f>M18+I20+I22+I24+I25+I26</f>
        <v>2140062</v>
      </c>
      <c r="P17" s="80"/>
    </row>
    <row r="18" spans="1:20" ht="90" customHeight="1" x14ac:dyDescent="0.25">
      <c r="A18" s="5" t="s">
        <v>103</v>
      </c>
      <c r="B18" s="62" t="s">
        <v>127</v>
      </c>
      <c r="C18" s="63"/>
      <c r="D18" s="5" t="s">
        <v>35</v>
      </c>
      <c r="E18" s="6">
        <v>1</v>
      </c>
      <c r="F18" s="40">
        <f>I18</f>
        <v>2140062</v>
      </c>
      <c r="G18" s="41"/>
      <c r="H18" s="42"/>
      <c r="I18" s="74">
        <f>O17</f>
        <v>2140062</v>
      </c>
      <c r="J18" s="75"/>
      <c r="K18" s="76"/>
      <c r="L18" s="11" t="s">
        <v>128</v>
      </c>
      <c r="M18" s="16">
        <v>725497</v>
      </c>
      <c r="N18" s="17"/>
      <c r="O18" s="80" t="s">
        <v>147</v>
      </c>
      <c r="P18" s="80"/>
      <c r="Q18" s="80" t="s">
        <v>148</v>
      </c>
      <c r="R18" s="80"/>
      <c r="S18" s="80" t="s">
        <v>81</v>
      </c>
      <c r="T18" s="80"/>
    </row>
    <row r="19" spans="1:20" ht="30" customHeight="1" x14ac:dyDescent="0.25">
      <c r="A19" s="5" t="s">
        <v>129</v>
      </c>
      <c r="B19" s="62" t="s">
        <v>130</v>
      </c>
      <c r="C19" s="63"/>
      <c r="D19" s="5" t="s">
        <v>35</v>
      </c>
      <c r="E19" s="6">
        <v>1</v>
      </c>
      <c r="F19" s="128">
        <f>I19</f>
        <v>4422692</v>
      </c>
      <c r="G19" s="128"/>
      <c r="H19" s="128"/>
      <c r="I19" s="74">
        <v>4422692</v>
      </c>
      <c r="J19" s="75"/>
      <c r="K19" s="76"/>
      <c r="L19" s="9"/>
      <c r="O19" s="80">
        <f>SUM(I14*0.023)</f>
        <v>1480188</v>
      </c>
      <c r="P19" s="80"/>
      <c r="Q19" s="80">
        <f>SUM(I14*0.04)</f>
        <v>2574240</v>
      </c>
      <c r="R19" s="80"/>
      <c r="S19" s="80">
        <f>SUM(Q19+O19)</f>
        <v>4054428</v>
      </c>
      <c r="T19" s="80"/>
    </row>
    <row r="20" spans="1:20" ht="18.75" hidden="1" x14ac:dyDescent="0.25">
      <c r="A20" s="5" t="s">
        <v>131</v>
      </c>
      <c r="B20" s="62" t="s">
        <v>132</v>
      </c>
      <c r="C20" s="63"/>
      <c r="D20" s="5" t="s">
        <v>35</v>
      </c>
      <c r="E20" s="6">
        <v>1</v>
      </c>
      <c r="F20" s="40">
        <v>250000</v>
      </c>
      <c r="G20" s="41"/>
      <c r="H20" s="42"/>
      <c r="I20" s="90">
        <v>250000</v>
      </c>
      <c r="J20" s="91"/>
      <c r="K20" s="92"/>
      <c r="L20" s="9"/>
      <c r="O20" s="80" t="s">
        <v>149</v>
      </c>
      <c r="P20" s="80"/>
      <c r="Q20" s="80"/>
      <c r="R20" s="80"/>
    </row>
    <row r="21" spans="1:20" ht="30" customHeight="1" x14ac:dyDescent="0.25">
      <c r="A21" s="5" t="s">
        <v>112</v>
      </c>
      <c r="B21" s="62" t="s">
        <v>57</v>
      </c>
      <c r="C21" s="63"/>
      <c r="D21" s="5" t="s">
        <v>35</v>
      </c>
      <c r="E21" s="6">
        <v>1</v>
      </c>
      <c r="F21" s="40">
        <f>I21</f>
        <v>8900000</v>
      </c>
      <c r="G21" s="41"/>
      <c r="H21" s="42"/>
      <c r="I21" s="77">
        <v>8900000</v>
      </c>
      <c r="J21" s="78"/>
      <c r="K21" s="79"/>
      <c r="L21" s="8" t="s">
        <v>133</v>
      </c>
      <c r="O21" s="80">
        <f>3100*80%</f>
        <v>2480</v>
      </c>
      <c r="P21" s="80"/>
      <c r="Q21" s="80">
        <f>O21*3000</f>
        <v>7440000</v>
      </c>
      <c r="R21" s="80"/>
    </row>
    <row r="22" spans="1:20" ht="30" hidden="1" x14ac:dyDescent="0.25">
      <c r="A22" s="5" t="s">
        <v>59</v>
      </c>
      <c r="B22" s="62" t="s">
        <v>134</v>
      </c>
      <c r="C22" s="63"/>
      <c r="D22" s="5" t="s">
        <v>35</v>
      </c>
      <c r="E22" s="6">
        <v>1</v>
      </c>
      <c r="F22" s="40">
        <v>355306.25</v>
      </c>
      <c r="G22" s="41"/>
      <c r="H22" s="42"/>
      <c r="I22" s="40">
        <f>I14*0.005</f>
        <v>321780</v>
      </c>
      <c r="J22" s="41"/>
      <c r="K22" s="42"/>
      <c r="L22" s="5" t="s">
        <v>61</v>
      </c>
    </row>
    <row r="23" spans="1:20" ht="30" customHeight="1" x14ac:dyDescent="0.25">
      <c r="A23" s="5" t="s">
        <v>56</v>
      </c>
      <c r="B23" s="62" t="s">
        <v>135</v>
      </c>
      <c r="C23" s="63"/>
      <c r="D23" s="5" t="s">
        <v>35</v>
      </c>
      <c r="E23" s="6">
        <v>1</v>
      </c>
      <c r="F23" s="40">
        <f>I23</f>
        <v>2413869</v>
      </c>
      <c r="G23" s="41"/>
      <c r="H23" s="42"/>
      <c r="I23" s="40">
        <f>M23</f>
        <v>2413869</v>
      </c>
      <c r="J23" s="41"/>
      <c r="K23" s="42"/>
      <c r="L23" s="5" t="s">
        <v>136</v>
      </c>
      <c r="M23">
        <v>2413869</v>
      </c>
      <c r="O23" s="94">
        <f>I18+I19+I21+I27</f>
        <v>16107131</v>
      </c>
      <c r="P23" s="80"/>
      <c r="Q23" s="80">
        <f>SUM(I14+O23)*(1.03-1)</f>
        <v>2413893.930000002</v>
      </c>
      <c r="R23" s="80"/>
    </row>
    <row r="24" spans="1:20" ht="30" hidden="1" x14ac:dyDescent="0.25">
      <c r="A24" s="5" t="s">
        <v>137</v>
      </c>
      <c r="B24" s="62" t="s">
        <v>138</v>
      </c>
      <c r="C24" s="63"/>
      <c r="D24" s="5" t="s">
        <v>35</v>
      </c>
      <c r="E24" s="6">
        <v>1</v>
      </c>
      <c r="F24" s="40">
        <v>200000</v>
      </c>
      <c r="G24" s="41"/>
      <c r="H24" s="42"/>
      <c r="I24" s="90">
        <v>200000</v>
      </c>
      <c r="J24" s="91"/>
      <c r="K24" s="92"/>
      <c r="L24" s="5"/>
    </row>
    <row r="25" spans="1:20" ht="30" hidden="1" x14ac:dyDescent="0.25">
      <c r="A25" s="5" t="s">
        <v>139</v>
      </c>
      <c r="B25" s="62" t="s">
        <v>67</v>
      </c>
      <c r="C25" s="63"/>
      <c r="D25" s="5" t="s">
        <v>35</v>
      </c>
      <c r="E25" s="6">
        <v>1</v>
      </c>
      <c r="F25" s="40">
        <v>58435</v>
      </c>
      <c r="G25" s="41"/>
      <c r="H25" s="42"/>
      <c r="I25" s="40">
        <f>I9*0.1%</f>
        <v>58435</v>
      </c>
      <c r="J25" s="41"/>
      <c r="K25" s="42"/>
      <c r="L25" s="5" t="s">
        <v>68</v>
      </c>
    </row>
    <row r="26" spans="1:20" ht="30" hidden="1" x14ac:dyDescent="0.25">
      <c r="A26" s="5" t="s">
        <v>140</v>
      </c>
      <c r="B26" s="62" t="s">
        <v>141</v>
      </c>
      <c r="C26" s="63"/>
      <c r="D26" s="5" t="s">
        <v>35</v>
      </c>
      <c r="E26" s="6">
        <v>1</v>
      </c>
      <c r="F26" s="40">
        <v>584350</v>
      </c>
      <c r="G26" s="41"/>
      <c r="H26" s="42"/>
      <c r="I26" s="40">
        <f>I9*1%</f>
        <v>584350</v>
      </c>
      <c r="J26" s="41"/>
      <c r="K26" s="42"/>
      <c r="L26" s="5" t="s">
        <v>71</v>
      </c>
    </row>
    <row r="27" spans="1:20" ht="30" customHeight="1" x14ac:dyDescent="0.25">
      <c r="A27" s="5" t="s">
        <v>59</v>
      </c>
      <c r="B27" s="62" t="s">
        <v>73</v>
      </c>
      <c r="C27" s="63"/>
      <c r="D27" s="5" t="s">
        <v>142</v>
      </c>
      <c r="E27" s="6">
        <v>1</v>
      </c>
      <c r="F27" s="40">
        <f>I27</f>
        <v>644377</v>
      </c>
      <c r="G27" s="41"/>
      <c r="H27" s="42"/>
      <c r="I27" s="40">
        <f>N27+M27</f>
        <v>644377</v>
      </c>
      <c r="J27" s="41"/>
      <c r="K27" s="42"/>
      <c r="L27" s="5" t="s">
        <v>143</v>
      </c>
      <c r="M27">
        <v>817</v>
      </c>
      <c r="N27">
        <v>643560</v>
      </c>
    </row>
    <row r="28" spans="1:20" ht="30" customHeight="1" x14ac:dyDescent="0.25">
      <c r="A28" s="81" t="s">
        <v>144</v>
      </c>
      <c r="B28" s="82"/>
      <c r="C28" s="82"/>
      <c r="D28" s="82"/>
      <c r="E28" s="82"/>
      <c r="F28" s="82"/>
      <c r="G28" s="82"/>
      <c r="H28" s="83"/>
      <c r="I28" s="68">
        <f>I18+I19+I21+I23+I27</f>
        <v>18521000</v>
      </c>
      <c r="J28" s="69"/>
      <c r="K28" s="69"/>
      <c r="L28" s="70"/>
    </row>
    <row r="29" spans="1:20" ht="18.7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20" ht="30" customHeight="1" x14ac:dyDescent="0.25">
      <c r="A30" s="84" t="s">
        <v>76</v>
      </c>
      <c r="B30" s="85"/>
      <c r="C30" s="85"/>
      <c r="D30" s="85"/>
      <c r="E30" s="85"/>
      <c r="F30" s="85"/>
      <c r="G30" s="85"/>
      <c r="H30" s="86"/>
      <c r="I30" s="87">
        <f>SUM(I14+I28)</f>
        <v>82877000</v>
      </c>
      <c r="J30" s="88"/>
      <c r="K30" s="88"/>
      <c r="L30" s="89"/>
    </row>
    <row r="31" spans="1:20" ht="20.25" thickBot="1" x14ac:dyDescent="0.3">
      <c r="A31" s="12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2"/>
    </row>
    <row r="32" spans="1:20" ht="19.5" x14ac:dyDescent="0.25">
      <c r="A32" s="12"/>
      <c r="B32" s="12"/>
      <c r="C32" s="12"/>
      <c r="D32" s="45" t="s">
        <v>145</v>
      </c>
      <c r="E32" s="131"/>
      <c r="F32" s="131"/>
      <c r="G32" s="131"/>
      <c r="H32" s="131"/>
      <c r="I32" s="111">
        <f>SUM(I14/J4)</f>
        <v>20760</v>
      </c>
      <c r="J32" s="111"/>
      <c r="K32" s="111"/>
      <c r="L32" s="112"/>
    </row>
    <row r="33" spans="1:12" ht="19.5" x14ac:dyDescent="0.25">
      <c r="A33" s="12"/>
      <c r="B33" s="12"/>
      <c r="C33" s="12"/>
      <c r="D33" s="129"/>
      <c r="E33" s="60"/>
      <c r="F33" s="60"/>
      <c r="G33" s="60"/>
      <c r="H33" s="60"/>
      <c r="I33" s="113"/>
      <c r="J33" s="113"/>
      <c r="K33" s="113"/>
      <c r="L33" s="114"/>
    </row>
    <row r="34" spans="1:12" ht="19.5" x14ac:dyDescent="0.25">
      <c r="A34" s="12"/>
      <c r="B34" s="12"/>
      <c r="C34" s="12"/>
      <c r="D34" s="129" t="s">
        <v>146</v>
      </c>
      <c r="E34" s="60"/>
      <c r="F34" s="60"/>
      <c r="G34" s="60"/>
      <c r="H34" s="60"/>
      <c r="I34" s="101">
        <f>SUM(I30/J4)</f>
        <v>26734.516129032258</v>
      </c>
      <c r="J34" s="101"/>
      <c r="K34" s="101"/>
      <c r="L34" s="102"/>
    </row>
    <row r="35" spans="1:12" ht="20.25" thickBot="1" x14ac:dyDescent="0.3">
      <c r="A35" s="12"/>
      <c r="B35" s="12"/>
      <c r="C35" s="12"/>
      <c r="D35" s="46"/>
      <c r="E35" s="130"/>
      <c r="F35" s="130"/>
      <c r="G35" s="130"/>
      <c r="H35" s="130"/>
      <c r="I35" s="103"/>
      <c r="J35" s="103"/>
      <c r="K35" s="103"/>
      <c r="L35" s="104"/>
    </row>
  </sheetData>
  <mergeCells count="86">
    <mergeCell ref="O21:P21"/>
    <mergeCell ref="Q21:R21"/>
    <mergeCell ref="O23:P23"/>
    <mergeCell ref="Q23:R23"/>
    <mergeCell ref="D34:H35"/>
    <mergeCell ref="I34:L35"/>
    <mergeCell ref="D32:H33"/>
    <mergeCell ref="I32:L33"/>
    <mergeCell ref="F25:H25"/>
    <mergeCell ref="I25:K25"/>
    <mergeCell ref="O17:P17"/>
    <mergeCell ref="O18:P18"/>
    <mergeCell ref="Q18:R18"/>
    <mergeCell ref="S18:T18"/>
    <mergeCell ref="O19:P19"/>
    <mergeCell ref="Q19:R19"/>
    <mergeCell ref="S19:T19"/>
    <mergeCell ref="O20:R20"/>
    <mergeCell ref="A28:H28"/>
    <mergeCell ref="I28:L28"/>
    <mergeCell ref="A29:L29"/>
    <mergeCell ref="A30:H30"/>
    <mergeCell ref="I30:L30"/>
    <mergeCell ref="B26:C26"/>
    <mergeCell ref="F26:H26"/>
    <mergeCell ref="I26:K26"/>
    <mergeCell ref="B27:C27"/>
    <mergeCell ref="F27:H27"/>
    <mergeCell ref="I27:K27"/>
    <mergeCell ref="B24:C24"/>
    <mergeCell ref="F24:H24"/>
    <mergeCell ref="I24:K24"/>
    <mergeCell ref="B25:C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L17"/>
    <mergeCell ref="B18:C18"/>
    <mergeCell ref="F18:H18"/>
    <mergeCell ref="I18:K18"/>
    <mergeCell ref="B19:C19"/>
    <mergeCell ref="F19:H19"/>
    <mergeCell ref="I19:K19"/>
    <mergeCell ref="A14:H14"/>
    <mergeCell ref="I14:L14"/>
    <mergeCell ref="A15:L15"/>
    <mergeCell ref="B16:C16"/>
    <mergeCell ref="F16:H16"/>
    <mergeCell ref="I16:K16"/>
    <mergeCell ref="B12:C12"/>
    <mergeCell ref="F12:H12"/>
    <mergeCell ref="I12:K12"/>
    <mergeCell ref="B13:C13"/>
    <mergeCell ref="F13:H13"/>
    <mergeCell ref="I13:K13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</mergeCells>
  <phoneticPr fontId="3" type="noConversion"/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zoomScale="60"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5" max="5" width="10.625" customWidth="1"/>
    <col min="12" max="12" width="30.625" customWidth="1"/>
  </cols>
  <sheetData>
    <row r="1" spans="1:12" x14ac:dyDescent="0.25">
      <c r="A1" s="44" t="s">
        <v>150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0" customHeight="1" x14ac:dyDescent="0.25">
      <c r="A3" s="45" t="s">
        <v>151</v>
      </c>
      <c r="B3" s="132">
        <v>2</v>
      </c>
      <c r="C3" s="1" t="s">
        <v>152</v>
      </c>
      <c r="D3" s="52" t="s">
        <v>153</v>
      </c>
      <c r="E3" s="52"/>
      <c r="F3" s="52"/>
      <c r="G3" s="52"/>
      <c r="H3" s="50" t="s">
        <v>154</v>
      </c>
      <c r="I3" s="2" t="s">
        <v>155</v>
      </c>
      <c r="J3" s="52" t="s">
        <v>156</v>
      </c>
      <c r="K3" s="52"/>
      <c r="L3" s="53"/>
    </row>
    <row r="4" spans="1:12" ht="57" thickBot="1" x14ac:dyDescent="0.3">
      <c r="A4" s="46"/>
      <c r="B4" s="133"/>
      <c r="C4" s="3" t="s">
        <v>157</v>
      </c>
      <c r="D4" s="56" t="s">
        <v>158</v>
      </c>
      <c r="E4" s="56"/>
      <c r="F4" s="56"/>
      <c r="G4" s="56"/>
      <c r="H4" s="51"/>
      <c r="I4" s="4" t="s">
        <v>159</v>
      </c>
      <c r="J4" s="127">
        <v>2700</v>
      </c>
      <c r="K4" s="56"/>
      <c r="L4" s="57"/>
    </row>
    <row r="5" spans="1:12" x14ac:dyDescent="0.25">
      <c r="A5" s="58" t="s">
        <v>160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4.95" customHeight="1" x14ac:dyDescent="0.25">
      <c r="A7" s="5" t="s">
        <v>94</v>
      </c>
      <c r="B7" s="60" t="s">
        <v>161</v>
      </c>
      <c r="C7" s="60"/>
      <c r="D7" s="5" t="s">
        <v>162</v>
      </c>
      <c r="E7" s="6" t="s">
        <v>97</v>
      </c>
      <c r="F7" s="40" t="s">
        <v>163</v>
      </c>
      <c r="G7" s="41"/>
      <c r="H7" s="42"/>
      <c r="I7" s="43" t="s">
        <v>164</v>
      </c>
      <c r="J7" s="43"/>
      <c r="K7" s="43"/>
      <c r="L7" s="5" t="s">
        <v>100</v>
      </c>
    </row>
    <row r="8" spans="1:12" ht="24.95" customHeight="1" x14ac:dyDescent="0.25">
      <c r="A8" s="7" t="s">
        <v>165</v>
      </c>
      <c r="B8" s="61" t="s">
        <v>166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30" customHeight="1" x14ac:dyDescent="0.25">
      <c r="A9" s="8" t="s">
        <v>103</v>
      </c>
      <c r="B9" s="39" t="s">
        <v>167</v>
      </c>
      <c r="C9" s="39"/>
      <c r="D9" s="5" t="s">
        <v>168</v>
      </c>
      <c r="E9" s="6">
        <v>2700</v>
      </c>
      <c r="F9" s="40">
        <v>18850</v>
      </c>
      <c r="G9" s="41"/>
      <c r="H9" s="42"/>
      <c r="I9" s="43">
        <f>F9*E9</f>
        <v>50895000</v>
      </c>
      <c r="J9" s="43"/>
      <c r="K9" s="43"/>
      <c r="L9" s="15"/>
    </row>
    <row r="10" spans="1:12" ht="30" customHeight="1" x14ac:dyDescent="0.25">
      <c r="A10" s="8" t="s">
        <v>169</v>
      </c>
      <c r="B10" s="39" t="s">
        <v>170</v>
      </c>
      <c r="C10" s="39"/>
      <c r="D10" s="5" t="s">
        <v>108</v>
      </c>
      <c r="E10" s="6">
        <v>570</v>
      </c>
      <c r="F10" s="40">
        <v>600</v>
      </c>
      <c r="G10" s="41"/>
      <c r="H10" s="42"/>
      <c r="I10" s="43">
        <f>SUM(F10*E10)</f>
        <v>342000</v>
      </c>
      <c r="J10" s="43"/>
      <c r="K10" s="43"/>
      <c r="L10" s="5" t="s">
        <v>171</v>
      </c>
    </row>
    <row r="11" spans="1:12" ht="56.25" hidden="1" x14ac:dyDescent="0.25">
      <c r="A11" s="8" t="s">
        <v>172</v>
      </c>
      <c r="B11" s="64" t="s">
        <v>173</v>
      </c>
      <c r="C11" s="64"/>
      <c r="D11" s="5" t="s">
        <v>35</v>
      </c>
      <c r="E11" s="6">
        <v>1</v>
      </c>
      <c r="F11" s="40">
        <f>I11</f>
        <v>1017900</v>
      </c>
      <c r="G11" s="41"/>
      <c r="H11" s="42"/>
      <c r="I11" s="43">
        <f>I9*0.02</f>
        <v>1017900</v>
      </c>
      <c r="J11" s="43"/>
      <c r="K11" s="43"/>
      <c r="L11" s="8" t="s">
        <v>174</v>
      </c>
    </row>
    <row r="12" spans="1:12" ht="30" customHeight="1" x14ac:dyDescent="0.25">
      <c r="A12" s="5" t="s">
        <v>175</v>
      </c>
      <c r="B12" s="64" t="s">
        <v>176</v>
      </c>
      <c r="C12" s="64"/>
      <c r="D12" s="5" t="s">
        <v>35</v>
      </c>
      <c r="E12" s="6">
        <v>1</v>
      </c>
      <c r="F12" s="40">
        <f>I12</f>
        <v>4500000</v>
      </c>
      <c r="G12" s="41"/>
      <c r="H12" s="42"/>
      <c r="I12" s="43">
        <v>4500000</v>
      </c>
      <c r="J12" s="43"/>
      <c r="K12" s="43"/>
      <c r="L12" s="8" t="s">
        <v>177</v>
      </c>
    </row>
    <row r="13" spans="1:12" ht="54.95" customHeight="1" x14ac:dyDescent="0.25">
      <c r="A13" s="5" t="s">
        <v>178</v>
      </c>
      <c r="B13" s="64" t="s">
        <v>179</v>
      </c>
      <c r="C13" s="64"/>
      <c r="D13" s="5" t="s">
        <v>180</v>
      </c>
      <c r="E13" s="6">
        <v>1</v>
      </c>
      <c r="F13" s="40">
        <f>I13</f>
        <v>2544000</v>
      </c>
      <c r="G13" s="41"/>
      <c r="H13" s="42"/>
      <c r="I13" s="43">
        <v>2544000</v>
      </c>
      <c r="J13" s="43"/>
      <c r="K13" s="43"/>
      <c r="L13" s="5" t="s">
        <v>359</v>
      </c>
    </row>
    <row r="14" spans="1:12" ht="30" customHeight="1" x14ac:dyDescent="0.25">
      <c r="A14" s="65" t="s">
        <v>181</v>
      </c>
      <c r="B14" s="66"/>
      <c r="C14" s="66"/>
      <c r="D14" s="66"/>
      <c r="E14" s="66"/>
      <c r="F14" s="66"/>
      <c r="G14" s="66"/>
      <c r="H14" s="67"/>
      <c r="I14" s="134">
        <f>I9+I10+I12+I13</f>
        <v>58281000</v>
      </c>
      <c r="J14" s="135"/>
      <c r="K14" s="135"/>
      <c r="L14" s="136"/>
    </row>
    <row r="15" spans="1:12" ht="19.5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ht="24.95" customHeight="1" x14ac:dyDescent="0.25">
      <c r="A16" s="5" t="s">
        <v>182</v>
      </c>
      <c r="B16" s="60" t="s">
        <v>161</v>
      </c>
      <c r="C16" s="60"/>
      <c r="D16" s="5" t="s">
        <v>162</v>
      </c>
      <c r="E16" s="6" t="s">
        <v>97</v>
      </c>
      <c r="F16" s="40" t="s">
        <v>163</v>
      </c>
      <c r="G16" s="41"/>
      <c r="H16" s="42"/>
      <c r="I16" s="43" t="s">
        <v>183</v>
      </c>
      <c r="J16" s="43"/>
      <c r="K16" s="43"/>
      <c r="L16" s="5" t="s">
        <v>100</v>
      </c>
    </row>
    <row r="17" spans="1:20" ht="24.95" customHeight="1" x14ac:dyDescent="0.25">
      <c r="A17" s="7" t="s">
        <v>184</v>
      </c>
      <c r="B17" s="61" t="s">
        <v>185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O17" s="93">
        <f>M18+I22+I24+I25+I26+250000</f>
        <v>1984042</v>
      </c>
      <c r="P17" s="80"/>
    </row>
    <row r="18" spans="1:20" ht="90" customHeight="1" x14ac:dyDescent="0.25">
      <c r="A18" s="5" t="s">
        <v>103</v>
      </c>
      <c r="B18" s="62" t="s">
        <v>186</v>
      </c>
      <c r="C18" s="63"/>
      <c r="D18" s="5" t="s">
        <v>35</v>
      </c>
      <c r="E18" s="6">
        <v>1</v>
      </c>
      <c r="F18" s="40">
        <f>I18</f>
        <v>1984042</v>
      </c>
      <c r="G18" s="41"/>
      <c r="H18" s="42"/>
      <c r="I18" s="74">
        <f>O17</f>
        <v>1984042</v>
      </c>
      <c r="J18" s="75"/>
      <c r="K18" s="76"/>
      <c r="L18" s="11" t="s">
        <v>187</v>
      </c>
      <c r="M18">
        <v>682792</v>
      </c>
      <c r="O18" s="80" t="s">
        <v>208</v>
      </c>
      <c r="P18" s="80"/>
      <c r="Q18" s="80" t="s">
        <v>209</v>
      </c>
      <c r="R18" s="80"/>
      <c r="S18" s="80" t="s">
        <v>210</v>
      </c>
      <c r="T18" s="80"/>
    </row>
    <row r="19" spans="1:20" ht="30" customHeight="1" x14ac:dyDescent="0.25">
      <c r="A19" s="5" t="s">
        <v>129</v>
      </c>
      <c r="B19" s="62" t="s">
        <v>81</v>
      </c>
      <c r="C19" s="63"/>
      <c r="D19" s="5" t="s">
        <v>35</v>
      </c>
      <c r="E19" s="6">
        <v>1</v>
      </c>
      <c r="F19" s="40">
        <f>I19</f>
        <v>4070342</v>
      </c>
      <c r="G19" s="41"/>
      <c r="H19" s="42"/>
      <c r="I19" s="74">
        <v>4070342</v>
      </c>
      <c r="J19" s="75"/>
      <c r="K19" s="76"/>
      <c r="L19" s="9"/>
      <c r="O19" s="80">
        <f>SUM(I14*0.023)</f>
        <v>1340463</v>
      </c>
      <c r="P19" s="80"/>
      <c r="Q19" s="80">
        <f>SUM(I14*0.04)</f>
        <v>2331240</v>
      </c>
      <c r="R19" s="80"/>
      <c r="S19" s="80">
        <f>SUM(Q19+O19)</f>
        <v>3671703</v>
      </c>
      <c r="T19" s="80"/>
    </row>
    <row r="20" spans="1:20" ht="30" customHeight="1" x14ac:dyDescent="0.25">
      <c r="A20" s="5" t="s">
        <v>175</v>
      </c>
      <c r="B20" s="62" t="s">
        <v>188</v>
      </c>
      <c r="C20" s="63"/>
      <c r="D20" s="5" t="s">
        <v>35</v>
      </c>
      <c r="E20" s="6">
        <v>1</v>
      </c>
      <c r="F20" s="40">
        <f>I20</f>
        <v>4830000</v>
      </c>
      <c r="G20" s="41"/>
      <c r="H20" s="42"/>
      <c r="I20" s="77">
        <v>4830000</v>
      </c>
      <c r="J20" s="78"/>
      <c r="K20" s="79"/>
      <c r="L20" s="8" t="s">
        <v>189</v>
      </c>
      <c r="O20" s="80" t="s">
        <v>211</v>
      </c>
      <c r="P20" s="80"/>
      <c r="Q20" s="80"/>
      <c r="R20" s="80"/>
    </row>
    <row r="21" spans="1:20" ht="30" customHeight="1" x14ac:dyDescent="0.25">
      <c r="A21" s="5" t="s">
        <v>56</v>
      </c>
      <c r="B21" s="62" t="s">
        <v>190</v>
      </c>
      <c r="C21" s="63"/>
      <c r="D21" s="5" t="s">
        <v>35</v>
      </c>
      <c r="E21" s="6">
        <v>1</v>
      </c>
      <c r="F21" s="40">
        <f>I21</f>
        <v>10050000</v>
      </c>
      <c r="G21" s="41"/>
      <c r="H21" s="42"/>
      <c r="I21" s="77">
        <v>10050000</v>
      </c>
      <c r="J21" s="78"/>
      <c r="K21" s="79"/>
      <c r="L21" s="8" t="s">
        <v>58</v>
      </c>
      <c r="O21" s="80">
        <f>2700*80%</f>
        <v>2160</v>
      </c>
      <c r="P21" s="80"/>
      <c r="Q21" s="80">
        <f>O21*3000</f>
        <v>6480000</v>
      </c>
      <c r="R21" s="80"/>
    </row>
    <row r="22" spans="1:20" ht="18.75" hidden="1" x14ac:dyDescent="0.25">
      <c r="A22" s="5" t="s">
        <v>191</v>
      </c>
      <c r="B22" s="62" t="s">
        <v>192</v>
      </c>
      <c r="C22" s="63"/>
      <c r="D22" s="5" t="s">
        <v>35</v>
      </c>
      <c r="E22" s="6">
        <v>1</v>
      </c>
      <c r="F22" s="40">
        <f>I22</f>
        <v>291405</v>
      </c>
      <c r="G22" s="41"/>
      <c r="H22" s="42"/>
      <c r="I22" s="40">
        <f>I14*0.005</f>
        <v>291405</v>
      </c>
      <c r="J22" s="41"/>
      <c r="K22" s="42"/>
      <c r="L22" s="5" t="s">
        <v>193</v>
      </c>
    </row>
    <row r="23" spans="1:20" ht="30" customHeight="1" x14ac:dyDescent="0.25">
      <c r="A23" s="5" t="s">
        <v>194</v>
      </c>
      <c r="B23" s="62" t="s">
        <v>195</v>
      </c>
      <c r="C23" s="63"/>
      <c r="D23" s="5" t="s">
        <v>35</v>
      </c>
      <c r="E23" s="6">
        <v>1</v>
      </c>
      <c r="F23" s="40">
        <f>Q23</f>
        <v>2393971.620000002</v>
      </c>
      <c r="G23" s="41"/>
      <c r="H23" s="42"/>
      <c r="I23" s="40">
        <f>M23</f>
        <v>2393946</v>
      </c>
      <c r="J23" s="41"/>
      <c r="K23" s="42"/>
      <c r="L23" s="5" t="s">
        <v>196</v>
      </c>
      <c r="M23">
        <v>2393946</v>
      </c>
      <c r="O23" s="94">
        <f>I18+I19+I20+I21+I27</f>
        <v>21518054</v>
      </c>
      <c r="P23" s="80"/>
      <c r="Q23" s="80">
        <f>SUM(I14+O23)*(1.03-1)</f>
        <v>2393971.620000002</v>
      </c>
      <c r="R23" s="80"/>
    </row>
    <row r="24" spans="1:20" ht="18.75" hidden="1" x14ac:dyDescent="0.25">
      <c r="A24" s="5" t="s">
        <v>197</v>
      </c>
      <c r="B24" s="62" t="s">
        <v>138</v>
      </c>
      <c r="C24" s="63"/>
      <c r="D24" s="5" t="s">
        <v>35</v>
      </c>
      <c r="E24" s="6">
        <v>1</v>
      </c>
      <c r="F24" s="40">
        <v>200000</v>
      </c>
      <c r="G24" s="41"/>
      <c r="H24" s="42"/>
      <c r="I24" s="90">
        <v>200000</v>
      </c>
      <c r="J24" s="91"/>
      <c r="K24" s="92"/>
      <c r="L24" s="5"/>
    </row>
    <row r="25" spans="1:20" ht="18.75" hidden="1" x14ac:dyDescent="0.25">
      <c r="A25" s="5" t="s">
        <v>139</v>
      </c>
      <c r="B25" s="62" t="s">
        <v>198</v>
      </c>
      <c r="C25" s="63"/>
      <c r="D25" s="5" t="s">
        <v>35</v>
      </c>
      <c r="E25" s="6">
        <v>1</v>
      </c>
      <c r="F25" s="40">
        <f>I25</f>
        <v>50895</v>
      </c>
      <c r="G25" s="41"/>
      <c r="H25" s="42"/>
      <c r="I25" s="40">
        <f>SUM(I9*0.001)</f>
        <v>50895</v>
      </c>
      <c r="J25" s="41"/>
      <c r="K25" s="42"/>
      <c r="L25" s="5" t="s">
        <v>68</v>
      </c>
    </row>
    <row r="26" spans="1:20" ht="18.75" hidden="1" x14ac:dyDescent="0.25">
      <c r="A26" s="5" t="s">
        <v>140</v>
      </c>
      <c r="B26" s="62" t="s">
        <v>199</v>
      </c>
      <c r="C26" s="63"/>
      <c r="D26" s="5" t="s">
        <v>35</v>
      </c>
      <c r="E26" s="6">
        <v>1</v>
      </c>
      <c r="F26" s="40">
        <f>I26</f>
        <v>508950</v>
      </c>
      <c r="G26" s="41"/>
      <c r="H26" s="42"/>
      <c r="I26" s="40">
        <f>SUM(I9*0.01)</f>
        <v>508950</v>
      </c>
      <c r="J26" s="41"/>
      <c r="K26" s="42"/>
      <c r="L26" s="5" t="s">
        <v>200</v>
      </c>
    </row>
    <row r="27" spans="1:20" ht="30" customHeight="1" x14ac:dyDescent="0.25">
      <c r="A27" s="5" t="s">
        <v>201</v>
      </c>
      <c r="B27" s="62" t="s">
        <v>202</v>
      </c>
      <c r="C27" s="63"/>
      <c r="D27" s="5" t="s">
        <v>203</v>
      </c>
      <c r="E27" s="6">
        <v>1</v>
      </c>
      <c r="F27" s="40">
        <f>I14*1/100</f>
        <v>582810</v>
      </c>
      <c r="G27" s="41"/>
      <c r="H27" s="42"/>
      <c r="I27" s="40">
        <f>N27+M27</f>
        <v>583670</v>
      </c>
      <c r="J27" s="41"/>
      <c r="K27" s="42"/>
      <c r="L27" s="5" t="s">
        <v>204</v>
      </c>
      <c r="M27">
        <v>860</v>
      </c>
      <c r="N27">
        <v>582810</v>
      </c>
    </row>
    <row r="28" spans="1:20" ht="30" customHeight="1" x14ac:dyDescent="0.25">
      <c r="A28" s="81" t="s">
        <v>75</v>
      </c>
      <c r="B28" s="82"/>
      <c r="C28" s="82"/>
      <c r="D28" s="82"/>
      <c r="E28" s="82"/>
      <c r="F28" s="82"/>
      <c r="G28" s="82"/>
      <c r="H28" s="83"/>
      <c r="I28" s="68">
        <f>I18+I19+I20+I21+I23+I27</f>
        <v>23912000</v>
      </c>
      <c r="J28" s="69"/>
      <c r="K28" s="69"/>
      <c r="L28" s="70"/>
    </row>
    <row r="29" spans="1:20" ht="20.25" customHeight="1" x14ac:dyDescent="0.25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9"/>
    </row>
    <row r="30" spans="1:20" ht="30" customHeight="1" x14ac:dyDescent="0.25">
      <c r="A30" s="140" t="s">
        <v>205</v>
      </c>
      <c r="B30" s="141"/>
      <c r="C30" s="141"/>
      <c r="D30" s="141"/>
      <c r="E30" s="141"/>
      <c r="F30" s="141"/>
      <c r="G30" s="141"/>
      <c r="H30" s="142"/>
      <c r="I30" s="87">
        <f>SUM(I14+I28)</f>
        <v>82193000</v>
      </c>
      <c r="J30" s="88"/>
      <c r="K30" s="88"/>
      <c r="L30" s="89"/>
    </row>
    <row r="31" spans="1:20" ht="20.25" thickBot="1" x14ac:dyDescent="0.3">
      <c r="A31" s="12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2"/>
    </row>
    <row r="32" spans="1:20" ht="19.5" x14ac:dyDescent="0.25">
      <c r="A32" s="12"/>
      <c r="B32" s="12"/>
      <c r="C32" s="12"/>
      <c r="D32" s="105" t="s">
        <v>206</v>
      </c>
      <c r="E32" s="106"/>
      <c r="F32" s="106"/>
      <c r="G32" s="106"/>
      <c r="H32" s="107"/>
      <c r="I32" s="111">
        <f>SUM(I14/J4)</f>
        <v>21585.555555555555</v>
      </c>
      <c r="J32" s="111"/>
      <c r="K32" s="111"/>
      <c r="L32" s="112"/>
    </row>
    <row r="33" spans="1:12" ht="19.5" x14ac:dyDescent="0.25">
      <c r="A33" s="12"/>
      <c r="B33" s="12"/>
      <c r="C33" s="12"/>
      <c r="D33" s="108"/>
      <c r="E33" s="109"/>
      <c r="F33" s="109"/>
      <c r="G33" s="109"/>
      <c r="H33" s="110"/>
      <c r="I33" s="113"/>
      <c r="J33" s="113"/>
      <c r="K33" s="113"/>
      <c r="L33" s="114"/>
    </row>
    <row r="34" spans="1:12" ht="19.5" x14ac:dyDescent="0.25">
      <c r="A34" s="12"/>
      <c r="B34" s="12"/>
      <c r="C34" s="12"/>
      <c r="D34" s="95" t="s">
        <v>207</v>
      </c>
      <c r="E34" s="96"/>
      <c r="F34" s="96"/>
      <c r="G34" s="96"/>
      <c r="H34" s="97"/>
      <c r="I34" s="101">
        <f>SUM(I30/J4)</f>
        <v>30441.85185185185</v>
      </c>
      <c r="J34" s="101"/>
      <c r="K34" s="101"/>
      <c r="L34" s="102"/>
    </row>
    <row r="35" spans="1:12" ht="20.25" thickBot="1" x14ac:dyDescent="0.3">
      <c r="A35" s="12"/>
      <c r="B35" s="12"/>
      <c r="C35" s="12"/>
      <c r="D35" s="98"/>
      <c r="E35" s="99"/>
      <c r="F35" s="99"/>
      <c r="G35" s="99"/>
      <c r="H35" s="100"/>
      <c r="I35" s="103"/>
      <c r="J35" s="103"/>
      <c r="K35" s="103"/>
      <c r="L35" s="104"/>
    </row>
  </sheetData>
  <mergeCells count="86">
    <mergeCell ref="O21:P21"/>
    <mergeCell ref="Q21:R21"/>
    <mergeCell ref="O23:P23"/>
    <mergeCell ref="Q23:R23"/>
    <mergeCell ref="D34:H35"/>
    <mergeCell ref="I34:L35"/>
    <mergeCell ref="D32:H33"/>
    <mergeCell ref="I32:L33"/>
    <mergeCell ref="F25:H25"/>
    <mergeCell ref="I25:K25"/>
    <mergeCell ref="O17:P17"/>
    <mergeCell ref="O18:P18"/>
    <mergeCell ref="Q18:R18"/>
    <mergeCell ref="S18:T18"/>
    <mergeCell ref="O19:P19"/>
    <mergeCell ref="Q19:R19"/>
    <mergeCell ref="S19:T19"/>
    <mergeCell ref="O20:R20"/>
    <mergeCell ref="A28:H28"/>
    <mergeCell ref="I28:L28"/>
    <mergeCell ref="A29:L29"/>
    <mergeCell ref="A30:H30"/>
    <mergeCell ref="I30:L30"/>
    <mergeCell ref="B26:C26"/>
    <mergeCell ref="F26:H26"/>
    <mergeCell ref="I26:K26"/>
    <mergeCell ref="B27:C27"/>
    <mergeCell ref="F27:H27"/>
    <mergeCell ref="I27:K27"/>
    <mergeCell ref="B24:C24"/>
    <mergeCell ref="F24:H24"/>
    <mergeCell ref="I24:K24"/>
    <mergeCell ref="B25:C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L17"/>
    <mergeCell ref="B18:C18"/>
    <mergeCell ref="F18:H18"/>
    <mergeCell ref="I18:K18"/>
    <mergeCell ref="B19:C19"/>
    <mergeCell ref="F19:H19"/>
    <mergeCell ref="I19:K19"/>
    <mergeCell ref="A14:H14"/>
    <mergeCell ref="I14:L14"/>
    <mergeCell ref="A15:L15"/>
    <mergeCell ref="B16:C16"/>
    <mergeCell ref="F16:H16"/>
    <mergeCell ref="I16:K16"/>
    <mergeCell ref="B12:C12"/>
    <mergeCell ref="F12:H12"/>
    <mergeCell ref="I12:K12"/>
    <mergeCell ref="B13:C13"/>
    <mergeCell ref="F13:H13"/>
    <mergeCell ref="I13:K13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</mergeCells>
  <phoneticPr fontId="3" type="noConversion"/>
  <pageMargins left="0.7" right="0.7" top="0.75" bottom="0.75" header="0.3" footer="0.3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60"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5" max="5" width="10.625" customWidth="1"/>
    <col min="12" max="12" width="30.625" customWidth="1"/>
  </cols>
  <sheetData>
    <row r="1" spans="1:12" x14ac:dyDescent="0.25">
      <c r="A1" s="44" t="s">
        <v>212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thickBot="1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54.75" customHeight="1" x14ac:dyDescent="0.25">
      <c r="A3" s="45" t="s">
        <v>213</v>
      </c>
      <c r="B3" s="132">
        <v>3</v>
      </c>
      <c r="C3" s="1" t="s">
        <v>152</v>
      </c>
      <c r="D3" s="49" t="s">
        <v>214</v>
      </c>
      <c r="E3" s="49"/>
      <c r="F3" s="49"/>
      <c r="G3" s="49"/>
      <c r="H3" s="144" t="s">
        <v>154</v>
      </c>
      <c r="I3" s="2" t="s">
        <v>215</v>
      </c>
      <c r="J3" s="52" t="s">
        <v>216</v>
      </c>
      <c r="K3" s="52"/>
      <c r="L3" s="53"/>
    </row>
    <row r="4" spans="1:12" ht="69" customHeight="1" thickBot="1" x14ac:dyDescent="0.3">
      <c r="A4" s="46"/>
      <c r="B4" s="133"/>
      <c r="C4" s="3" t="s">
        <v>217</v>
      </c>
      <c r="D4" s="56" t="s">
        <v>218</v>
      </c>
      <c r="E4" s="56"/>
      <c r="F4" s="56"/>
      <c r="G4" s="56"/>
      <c r="H4" s="145"/>
      <c r="I4" s="4" t="s">
        <v>159</v>
      </c>
      <c r="J4" s="55" t="s">
        <v>219</v>
      </c>
      <c r="K4" s="56"/>
      <c r="L4" s="57"/>
    </row>
    <row r="5" spans="1:12" x14ac:dyDescent="0.25">
      <c r="A5" s="146" t="s">
        <v>220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ht="24.95" customHeight="1" x14ac:dyDescent="0.25">
      <c r="A7" s="5" t="s">
        <v>182</v>
      </c>
      <c r="B7" s="60" t="s">
        <v>221</v>
      </c>
      <c r="C7" s="60"/>
      <c r="D7" s="5" t="s">
        <v>222</v>
      </c>
      <c r="E7" s="6" t="s">
        <v>223</v>
      </c>
      <c r="F7" s="40" t="s">
        <v>224</v>
      </c>
      <c r="G7" s="41"/>
      <c r="H7" s="42"/>
      <c r="I7" s="43" t="s">
        <v>225</v>
      </c>
      <c r="J7" s="43"/>
      <c r="K7" s="43"/>
      <c r="L7" s="5" t="s">
        <v>226</v>
      </c>
    </row>
    <row r="8" spans="1:12" ht="24.95" customHeight="1" x14ac:dyDescent="0.25">
      <c r="A8" s="7" t="s">
        <v>227</v>
      </c>
      <c r="B8" s="61" t="s">
        <v>228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30" customHeight="1" x14ac:dyDescent="0.25">
      <c r="A9" s="8" t="s">
        <v>229</v>
      </c>
      <c r="B9" s="39" t="s">
        <v>230</v>
      </c>
      <c r="C9" s="39"/>
      <c r="D9" s="5" t="s">
        <v>231</v>
      </c>
      <c r="E9" s="6">
        <v>5000</v>
      </c>
      <c r="F9" s="40">
        <v>18850</v>
      </c>
      <c r="G9" s="41"/>
      <c r="H9" s="42"/>
      <c r="I9" s="43">
        <f>F9*E9</f>
        <v>94250000</v>
      </c>
      <c r="J9" s="43"/>
      <c r="K9" s="43"/>
      <c r="L9" s="15"/>
    </row>
    <row r="10" spans="1:12" ht="30" customHeight="1" x14ac:dyDescent="0.25">
      <c r="A10" s="8" t="s">
        <v>232</v>
      </c>
      <c r="B10" s="39" t="s">
        <v>233</v>
      </c>
      <c r="C10" s="39"/>
      <c r="D10" s="5" t="s">
        <v>108</v>
      </c>
      <c r="E10" s="6">
        <v>240</v>
      </c>
      <c r="F10" s="40">
        <v>600</v>
      </c>
      <c r="G10" s="41"/>
      <c r="H10" s="42"/>
      <c r="I10" s="43">
        <f>SUM(F10*E10)</f>
        <v>144000</v>
      </c>
      <c r="J10" s="43"/>
      <c r="K10" s="43"/>
      <c r="L10" s="5" t="s">
        <v>234</v>
      </c>
    </row>
    <row r="11" spans="1:12" ht="56.25" hidden="1" x14ac:dyDescent="0.25">
      <c r="A11" s="8" t="s">
        <v>235</v>
      </c>
      <c r="B11" s="64" t="s">
        <v>236</v>
      </c>
      <c r="C11" s="64"/>
      <c r="D11" s="5" t="s">
        <v>35</v>
      </c>
      <c r="E11" s="6">
        <v>1</v>
      </c>
      <c r="F11" s="40">
        <f>I11</f>
        <v>1885000</v>
      </c>
      <c r="G11" s="41"/>
      <c r="H11" s="42"/>
      <c r="I11" s="43">
        <f>I9*2%</f>
        <v>1885000</v>
      </c>
      <c r="J11" s="43"/>
      <c r="K11" s="43"/>
      <c r="L11" s="8" t="s">
        <v>237</v>
      </c>
    </row>
    <row r="12" spans="1:12" ht="30" customHeight="1" x14ac:dyDescent="0.25">
      <c r="A12" s="5" t="s">
        <v>172</v>
      </c>
      <c r="B12" s="64" t="s">
        <v>238</v>
      </c>
      <c r="C12" s="64"/>
      <c r="D12" s="5" t="s">
        <v>35</v>
      </c>
      <c r="E12" s="6">
        <v>1</v>
      </c>
      <c r="F12" s="40">
        <f>I12</f>
        <v>2400000</v>
      </c>
      <c r="G12" s="41"/>
      <c r="H12" s="42"/>
      <c r="I12" s="43">
        <v>2400000</v>
      </c>
      <c r="J12" s="43"/>
      <c r="K12" s="43"/>
      <c r="L12" s="8" t="s">
        <v>239</v>
      </c>
    </row>
    <row r="13" spans="1:12" ht="54.95" customHeight="1" x14ac:dyDescent="0.25">
      <c r="A13" s="5" t="s">
        <v>240</v>
      </c>
      <c r="B13" s="64" t="s">
        <v>241</v>
      </c>
      <c r="C13" s="64"/>
      <c r="D13" s="5" t="s">
        <v>242</v>
      </c>
      <c r="E13" s="6">
        <v>1</v>
      </c>
      <c r="F13" s="40">
        <f>I13</f>
        <v>4712000</v>
      </c>
      <c r="G13" s="41"/>
      <c r="H13" s="42"/>
      <c r="I13" s="43">
        <v>4712000</v>
      </c>
      <c r="J13" s="43"/>
      <c r="K13" s="43"/>
      <c r="L13" s="5" t="s">
        <v>357</v>
      </c>
    </row>
    <row r="14" spans="1:12" ht="30" customHeight="1" x14ac:dyDescent="0.25">
      <c r="A14" s="65" t="s">
        <v>243</v>
      </c>
      <c r="B14" s="66"/>
      <c r="C14" s="66"/>
      <c r="D14" s="66"/>
      <c r="E14" s="66"/>
      <c r="F14" s="66"/>
      <c r="G14" s="66"/>
      <c r="H14" s="67"/>
      <c r="I14" s="68">
        <f>I9+I10+I12+I13</f>
        <v>101506000</v>
      </c>
      <c r="J14" s="69"/>
      <c r="K14" s="69"/>
      <c r="L14" s="70"/>
    </row>
    <row r="15" spans="1:12" ht="19.5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ht="24.95" customHeight="1" x14ac:dyDescent="0.25">
      <c r="A16" s="5" t="s">
        <v>182</v>
      </c>
      <c r="B16" s="60" t="s">
        <v>221</v>
      </c>
      <c r="C16" s="60"/>
      <c r="D16" s="5" t="s">
        <v>222</v>
      </c>
      <c r="E16" s="6" t="s">
        <v>223</v>
      </c>
      <c r="F16" s="40" t="s">
        <v>224</v>
      </c>
      <c r="G16" s="41"/>
      <c r="H16" s="42"/>
      <c r="I16" s="43" t="s">
        <v>225</v>
      </c>
      <c r="J16" s="43"/>
      <c r="K16" s="43"/>
      <c r="L16" s="5" t="s">
        <v>47</v>
      </c>
    </row>
    <row r="17" spans="1:20" ht="24.95" customHeight="1" x14ac:dyDescent="0.25">
      <c r="A17" s="7" t="s">
        <v>244</v>
      </c>
      <c r="B17" s="61" t="s">
        <v>245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O17" s="93">
        <f>M18+I20+I22+I24+I25+I26</f>
        <v>2976813</v>
      </c>
      <c r="P17" s="80"/>
    </row>
    <row r="18" spans="1:20" ht="90" customHeight="1" x14ac:dyDescent="0.25">
      <c r="A18" s="5" t="s">
        <v>229</v>
      </c>
      <c r="B18" s="62" t="s">
        <v>246</v>
      </c>
      <c r="C18" s="63"/>
      <c r="D18" s="5" t="s">
        <v>35</v>
      </c>
      <c r="E18" s="6">
        <v>1</v>
      </c>
      <c r="F18" s="147">
        <f>I18</f>
        <v>2976813</v>
      </c>
      <c r="G18" s="148"/>
      <c r="H18" s="149"/>
      <c r="I18" s="74">
        <f>O17</f>
        <v>2976813</v>
      </c>
      <c r="J18" s="75"/>
      <c r="K18" s="76"/>
      <c r="L18" s="11" t="s">
        <v>247</v>
      </c>
      <c r="M18">
        <v>982533</v>
      </c>
      <c r="O18" s="80" t="s">
        <v>265</v>
      </c>
      <c r="P18" s="80"/>
      <c r="Q18" s="80" t="s">
        <v>266</v>
      </c>
      <c r="R18" s="80"/>
      <c r="S18" s="80" t="s">
        <v>267</v>
      </c>
      <c r="T18" s="80"/>
    </row>
    <row r="19" spans="1:20" ht="30" customHeight="1" x14ac:dyDescent="0.25">
      <c r="A19" s="5" t="s">
        <v>232</v>
      </c>
      <c r="B19" s="62" t="s">
        <v>248</v>
      </c>
      <c r="C19" s="63"/>
      <c r="D19" s="5" t="s">
        <v>35</v>
      </c>
      <c r="E19" s="6">
        <v>1</v>
      </c>
      <c r="F19" s="147">
        <f>I19</f>
        <v>6559299</v>
      </c>
      <c r="G19" s="148"/>
      <c r="H19" s="149"/>
      <c r="I19" s="74">
        <v>6559299</v>
      </c>
      <c r="J19" s="75"/>
      <c r="K19" s="76"/>
      <c r="L19" s="9"/>
      <c r="O19" s="80">
        <f>SUM(I14*0.023)</f>
        <v>2334638</v>
      </c>
      <c r="P19" s="80"/>
      <c r="Q19" s="80">
        <f>SUM(I14*0.04)</f>
        <v>4060240</v>
      </c>
      <c r="R19" s="80"/>
      <c r="S19" s="80">
        <f>SUM(Q19+O19)</f>
        <v>6394878</v>
      </c>
      <c r="T19" s="80"/>
    </row>
    <row r="20" spans="1:20" ht="18.75" hidden="1" x14ac:dyDescent="0.25">
      <c r="A20" s="5" t="s">
        <v>172</v>
      </c>
      <c r="B20" s="62" t="s">
        <v>249</v>
      </c>
      <c r="C20" s="63"/>
      <c r="D20" s="5" t="s">
        <v>35</v>
      </c>
      <c r="E20" s="6">
        <v>1</v>
      </c>
      <c r="F20" s="147">
        <v>250000</v>
      </c>
      <c r="G20" s="148"/>
      <c r="H20" s="149"/>
      <c r="I20" s="90">
        <v>250000</v>
      </c>
      <c r="J20" s="91"/>
      <c r="K20" s="92"/>
      <c r="L20" s="9"/>
      <c r="O20" s="80" t="s">
        <v>268</v>
      </c>
      <c r="P20" s="80"/>
      <c r="Q20" s="80"/>
      <c r="R20" s="80"/>
    </row>
    <row r="21" spans="1:20" ht="30" customHeight="1" x14ac:dyDescent="0.25">
      <c r="A21" s="5" t="s">
        <v>172</v>
      </c>
      <c r="B21" s="62" t="s">
        <v>250</v>
      </c>
      <c r="C21" s="63"/>
      <c r="D21" s="5" t="s">
        <v>35</v>
      </c>
      <c r="E21" s="6">
        <v>1</v>
      </c>
      <c r="F21" s="147">
        <f>I21</f>
        <v>14550000</v>
      </c>
      <c r="G21" s="148"/>
      <c r="H21" s="149"/>
      <c r="I21" s="77">
        <v>14550000</v>
      </c>
      <c r="J21" s="78"/>
      <c r="K21" s="79"/>
      <c r="L21" s="8" t="s">
        <v>251</v>
      </c>
      <c r="O21" s="80">
        <f>5000*80%</f>
        <v>4000</v>
      </c>
      <c r="P21" s="80"/>
      <c r="Q21" s="80">
        <f>O21*3000</f>
        <v>12000000</v>
      </c>
      <c r="R21" s="80"/>
    </row>
    <row r="22" spans="1:20" ht="18.75" hidden="1" x14ac:dyDescent="0.25">
      <c r="A22" s="5" t="s">
        <v>194</v>
      </c>
      <c r="B22" s="62" t="s">
        <v>252</v>
      </c>
      <c r="C22" s="63"/>
      <c r="D22" s="5" t="s">
        <v>35</v>
      </c>
      <c r="E22" s="6">
        <v>1</v>
      </c>
      <c r="F22" s="147">
        <f>I22</f>
        <v>507530</v>
      </c>
      <c r="G22" s="148"/>
      <c r="H22" s="149"/>
      <c r="I22" s="40">
        <f>I14*0.5%</f>
        <v>507530</v>
      </c>
      <c r="J22" s="41"/>
      <c r="K22" s="42"/>
      <c r="L22" s="5" t="s">
        <v>61</v>
      </c>
    </row>
    <row r="23" spans="1:20" ht="30" customHeight="1" x14ac:dyDescent="0.25">
      <c r="A23" s="5" t="s">
        <v>56</v>
      </c>
      <c r="B23" s="62" t="s">
        <v>253</v>
      </c>
      <c r="C23" s="63"/>
      <c r="D23" s="5" t="s">
        <v>35</v>
      </c>
      <c r="E23" s="6">
        <v>1</v>
      </c>
      <c r="F23" s="40">
        <f>Q23</f>
        <v>3376966.8600000031</v>
      </c>
      <c r="G23" s="41"/>
      <c r="H23" s="42"/>
      <c r="I23" s="40">
        <v>3376968</v>
      </c>
      <c r="J23" s="41"/>
      <c r="K23" s="42"/>
      <c r="L23" s="5" t="s">
        <v>254</v>
      </c>
      <c r="M23">
        <v>3376968</v>
      </c>
      <c r="O23" s="94">
        <f>I18+I19+I22+I27</f>
        <v>11059562</v>
      </c>
      <c r="P23" s="80"/>
      <c r="Q23" s="80">
        <f>SUM(I14+O23)*(1.03-1)</f>
        <v>3376966.8600000031</v>
      </c>
      <c r="R23" s="80"/>
    </row>
    <row r="24" spans="1:20" ht="18.75" hidden="1" x14ac:dyDescent="0.25">
      <c r="A24" s="5" t="s">
        <v>197</v>
      </c>
      <c r="B24" s="62" t="s">
        <v>65</v>
      </c>
      <c r="C24" s="63"/>
      <c r="D24" s="5" t="s">
        <v>35</v>
      </c>
      <c r="E24" s="6">
        <v>1</v>
      </c>
      <c r="F24" s="40">
        <v>200000</v>
      </c>
      <c r="G24" s="41"/>
      <c r="H24" s="42"/>
      <c r="I24" s="90">
        <v>200000</v>
      </c>
      <c r="J24" s="91"/>
      <c r="K24" s="92"/>
      <c r="L24" s="5"/>
    </row>
    <row r="25" spans="1:20" ht="18.75" hidden="1" x14ac:dyDescent="0.25">
      <c r="A25" s="5" t="s">
        <v>255</v>
      </c>
      <c r="B25" s="62" t="s">
        <v>256</v>
      </c>
      <c r="C25" s="63"/>
      <c r="D25" s="5" t="s">
        <v>35</v>
      </c>
      <c r="E25" s="6">
        <v>1</v>
      </c>
      <c r="F25" s="40">
        <f>I25</f>
        <v>94250</v>
      </c>
      <c r="G25" s="41"/>
      <c r="H25" s="42"/>
      <c r="I25" s="40">
        <f>I9*0.1%</f>
        <v>94250</v>
      </c>
      <c r="J25" s="41"/>
      <c r="K25" s="42"/>
      <c r="L25" s="5" t="s">
        <v>257</v>
      </c>
    </row>
    <row r="26" spans="1:20" ht="18.75" hidden="1" x14ac:dyDescent="0.25">
      <c r="A26" s="5" t="s">
        <v>140</v>
      </c>
      <c r="B26" s="62" t="s">
        <v>258</v>
      </c>
      <c r="C26" s="63"/>
      <c r="D26" s="5" t="s">
        <v>35</v>
      </c>
      <c r="E26" s="6">
        <v>1</v>
      </c>
      <c r="F26" s="40">
        <f>I26</f>
        <v>942500</v>
      </c>
      <c r="G26" s="41"/>
      <c r="H26" s="42"/>
      <c r="I26" s="40">
        <f>I9*1%</f>
        <v>942500</v>
      </c>
      <c r="J26" s="41"/>
      <c r="K26" s="42"/>
      <c r="L26" s="5" t="s">
        <v>71</v>
      </c>
    </row>
    <row r="27" spans="1:20" ht="30" customHeight="1" x14ac:dyDescent="0.25">
      <c r="A27" s="5" t="s">
        <v>259</v>
      </c>
      <c r="B27" s="62" t="s">
        <v>260</v>
      </c>
      <c r="C27" s="63"/>
      <c r="D27" s="5" t="s">
        <v>242</v>
      </c>
      <c r="E27" s="6">
        <v>1</v>
      </c>
      <c r="F27" s="40">
        <f>I27</f>
        <v>1015920</v>
      </c>
      <c r="G27" s="41"/>
      <c r="H27" s="42"/>
      <c r="I27" s="40">
        <f>M27+N27</f>
        <v>1015920</v>
      </c>
      <c r="J27" s="41"/>
      <c r="K27" s="42"/>
      <c r="L27" s="5" t="s">
        <v>261</v>
      </c>
      <c r="M27">
        <v>1015060</v>
      </c>
      <c r="N27">
        <v>860</v>
      </c>
    </row>
    <row r="28" spans="1:20" ht="30" customHeight="1" x14ac:dyDescent="0.25">
      <c r="A28" s="81" t="s">
        <v>144</v>
      </c>
      <c r="B28" s="82"/>
      <c r="C28" s="82"/>
      <c r="D28" s="82"/>
      <c r="E28" s="82"/>
      <c r="F28" s="82"/>
      <c r="G28" s="82"/>
      <c r="H28" s="83"/>
      <c r="I28" s="68">
        <f>I18+I19+I21+I23+I27</f>
        <v>28479000</v>
      </c>
      <c r="J28" s="69"/>
      <c r="K28" s="69"/>
      <c r="L28" s="70"/>
    </row>
    <row r="29" spans="1:20" ht="18.7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20" ht="30" customHeight="1" x14ac:dyDescent="0.25">
      <c r="A30" s="84" t="s">
        <v>262</v>
      </c>
      <c r="B30" s="85"/>
      <c r="C30" s="85"/>
      <c r="D30" s="85"/>
      <c r="E30" s="85"/>
      <c r="F30" s="85"/>
      <c r="G30" s="85"/>
      <c r="H30" s="86"/>
      <c r="I30" s="87">
        <f>SUM(I14+I28)</f>
        <v>129985000</v>
      </c>
      <c r="J30" s="88"/>
      <c r="K30" s="88"/>
      <c r="L30" s="89"/>
    </row>
    <row r="31" spans="1:20" ht="20.25" thickBot="1" x14ac:dyDescent="0.3">
      <c r="A31" s="12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2"/>
    </row>
    <row r="32" spans="1:20" ht="19.5" x14ac:dyDescent="0.25">
      <c r="A32" s="12"/>
      <c r="B32" s="12"/>
      <c r="C32" s="12"/>
      <c r="D32" s="105" t="s">
        <v>263</v>
      </c>
      <c r="E32" s="106"/>
      <c r="F32" s="106"/>
      <c r="G32" s="106"/>
      <c r="H32" s="107"/>
      <c r="I32" s="111">
        <f>SUM(I14/5000)</f>
        <v>20301.2</v>
      </c>
      <c r="J32" s="111"/>
      <c r="K32" s="111"/>
      <c r="L32" s="112"/>
    </row>
    <row r="33" spans="1:12" ht="19.5" x14ac:dyDescent="0.25">
      <c r="A33" s="12"/>
      <c r="B33" s="12"/>
      <c r="C33" s="12"/>
      <c r="D33" s="108"/>
      <c r="E33" s="109"/>
      <c r="F33" s="109"/>
      <c r="G33" s="109"/>
      <c r="H33" s="110"/>
      <c r="I33" s="113"/>
      <c r="J33" s="113"/>
      <c r="K33" s="113"/>
      <c r="L33" s="114"/>
    </row>
    <row r="34" spans="1:12" ht="19.5" x14ac:dyDescent="0.25">
      <c r="A34" s="12"/>
      <c r="B34" s="12"/>
      <c r="C34" s="12"/>
      <c r="D34" s="95" t="s">
        <v>264</v>
      </c>
      <c r="E34" s="96"/>
      <c r="F34" s="96"/>
      <c r="G34" s="96"/>
      <c r="H34" s="97"/>
      <c r="I34" s="101">
        <f>SUM(I30/5000)</f>
        <v>25997</v>
      </c>
      <c r="J34" s="101"/>
      <c r="K34" s="101"/>
      <c r="L34" s="102"/>
    </row>
    <row r="35" spans="1:12" ht="20.25" thickBot="1" x14ac:dyDescent="0.3">
      <c r="A35" s="12"/>
      <c r="B35" s="12"/>
      <c r="C35" s="12"/>
      <c r="D35" s="98"/>
      <c r="E35" s="99"/>
      <c r="F35" s="99"/>
      <c r="G35" s="99"/>
      <c r="H35" s="100"/>
      <c r="I35" s="103"/>
      <c r="J35" s="103"/>
      <c r="K35" s="103"/>
      <c r="L35" s="104"/>
    </row>
  </sheetData>
  <mergeCells count="86">
    <mergeCell ref="O21:P21"/>
    <mergeCell ref="Q21:R21"/>
    <mergeCell ref="O23:P23"/>
    <mergeCell ref="Q23:R23"/>
    <mergeCell ref="D34:H35"/>
    <mergeCell ref="I34:L35"/>
    <mergeCell ref="D32:H33"/>
    <mergeCell ref="I32:L33"/>
    <mergeCell ref="F25:H25"/>
    <mergeCell ref="I25:K25"/>
    <mergeCell ref="O17:P17"/>
    <mergeCell ref="O18:P18"/>
    <mergeCell ref="Q18:R18"/>
    <mergeCell ref="S18:T18"/>
    <mergeCell ref="O19:P19"/>
    <mergeCell ref="Q19:R19"/>
    <mergeCell ref="S19:T19"/>
    <mergeCell ref="O20:R20"/>
    <mergeCell ref="A28:H28"/>
    <mergeCell ref="I28:L28"/>
    <mergeCell ref="A29:L29"/>
    <mergeCell ref="A30:H30"/>
    <mergeCell ref="I30:L30"/>
    <mergeCell ref="B26:C26"/>
    <mergeCell ref="F26:H26"/>
    <mergeCell ref="I26:K26"/>
    <mergeCell ref="B27:C27"/>
    <mergeCell ref="F27:H27"/>
    <mergeCell ref="I27:K27"/>
    <mergeCell ref="B24:C24"/>
    <mergeCell ref="F24:H24"/>
    <mergeCell ref="I24:K24"/>
    <mergeCell ref="B25:C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L17"/>
    <mergeCell ref="B18:C18"/>
    <mergeCell ref="F18:H18"/>
    <mergeCell ref="I18:K18"/>
    <mergeCell ref="B19:C19"/>
    <mergeCell ref="F19:H19"/>
    <mergeCell ref="I19:K19"/>
    <mergeCell ref="A14:H14"/>
    <mergeCell ref="I14:L14"/>
    <mergeCell ref="A15:L15"/>
    <mergeCell ref="B16:C16"/>
    <mergeCell ref="F16:H16"/>
    <mergeCell ref="I16:K16"/>
    <mergeCell ref="B12:C12"/>
    <mergeCell ref="F12:H12"/>
    <mergeCell ref="I12:K12"/>
    <mergeCell ref="B13:C13"/>
    <mergeCell ref="F13:H13"/>
    <mergeCell ref="I13:K13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</mergeCells>
  <phoneticPr fontId="3" type="noConversion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5" max="5" width="10.625" customWidth="1"/>
    <col min="12" max="12" width="30.625" customWidth="1"/>
  </cols>
  <sheetData>
    <row r="1" spans="1:13" x14ac:dyDescent="0.25">
      <c r="A1" s="44" t="s">
        <v>269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17.25" thickBot="1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3" ht="30" customHeight="1" x14ac:dyDescent="0.25">
      <c r="A3" s="45" t="s">
        <v>151</v>
      </c>
      <c r="B3" s="132">
        <v>4</v>
      </c>
      <c r="C3" s="1" t="s">
        <v>360</v>
      </c>
      <c r="D3" s="49" t="s">
        <v>270</v>
      </c>
      <c r="E3" s="49"/>
      <c r="F3" s="49"/>
      <c r="G3" s="49"/>
      <c r="H3" s="50" t="s">
        <v>87</v>
      </c>
      <c r="I3" s="2" t="s">
        <v>88</v>
      </c>
      <c r="J3" s="52" t="s">
        <v>271</v>
      </c>
      <c r="K3" s="52"/>
      <c r="L3" s="53"/>
    </row>
    <row r="4" spans="1:13" ht="57" thickBot="1" x14ac:dyDescent="0.3">
      <c r="A4" s="46"/>
      <c r="B4" s="133"/>
      <c r="C4" s="3" t="s">
        <v>272</v>
      </c>
      <c r="D4" s="54" t="s">
        <v>273</v>
      </c>
      <c r="E4" s="54"/>
      <c r="F4" s="54"/>
      <c r="G4" s="54"/>
      <c r="H4" s="51"/>
      <c r="I4" s="4" t="s">
        <v>274</v>
      </c>
      <c r="J4" s="55">
        <v>3500</v>
      </c>
      <c r="K4" s="56"/>
      <c r="L4" s="57"/>
    </row>
    <row r="5" spans="1:13" x14ac:dyDescent="0.25">
      <c r="A5" s="59" t="s">
        <v>160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3" ht="24.95" customHeight="1" x14ac:dyDescent="0.25">
      <c r="A7" s="5" t="s">
        <v>275</v>
      </c>
      <c r="B7" s="60" t="s">
        <v>276</v>
      </c>
      <c r="C7" s="60"/>
      <c r="D7" s="5" t="s">
        <v>277</v>
      </c>
      <c r="E7" s="6" t="s">
        <v>97</v>
      </c>
      <c r="F7" s="40" t="s">
        <v>278</v>
      </c>
      <c r="G7" s="41"/>
      <c r="H7" s="42"/>
      <c r="I7" s="43" t="s">
        <v>279</v>
      </c>
      <c r="J7" s="43"/>
      <c r="K7" s="43"/>
      <c r="L7" s="5" t="s">
        <v>280</v>
      </c>
    </row>
    <row r="8" spans="1:13" ht="24.95" customHeight="1" x14ac:dyDescent="0.25">
      <c r="A8" s="7" t="s">
        <v>281</v>
      </c>
      <c r="B8" s="61" t="s">
        <v>282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3" ht="30" customHeight="1" x14ac:dyDescent="0.25">
      <c r="A9" s="8" t="s">
        <v>283</v>
      </c>
      <c r="B9" s="39" t="s">
        <v>284</v>
      </c>
      <c r="C9" s="39"/>
      <c r="D9" s="5" t="s">
        <v>285</v>
      </c>
      <c r="E9" s="6">
        <v>3500</v>
      </c>
      <c r="F9" s="40">
        <v>18850</v>
      </c>
      <c r="G9" s="41"/>
      <c r="H9" s="42"/>
      <c r="I9" s="43">
        <f>F9*E9</f>
        <v>65975000</v>
      </c>
      <c r="J9" s="43"/>
      <c r="K9" s="43"/>
      <c r="L9" s="15"/>
    </row>
    <row r="10" spans="1:13" ht="50.1" customHeight="1" x14ac:dyDescent="0.25">
      <c r="A10" s="8" t="s">
        <v>286</v>
      </c>
      <c r="B10" s="152" t="s">
        <v>287</v>
      </c>
      <c r="C10" s="153"/>
      <c r="D10" s="5" t="s">
        <v>231</v>
      </c>
      <c r="E10" s="18">
        <v>1350</v>
      </c>
      <c r="F10" s="154">
        <v>9425</v>
      </c>
      <c r="G10" s="155"/>
      <c r="H10" s="156"/>
      <c r="I10" s="154">
        <f>F10*E10</f>
        <v>12723750</v>
      </c>
      <c r="J10" s="155"/>
      <c r="K10" s="156"/>
      <c r="L10" s="8" t="s">
        <v>288</v>
      </c>
    </row>
    <row r="11" spans="1:13" ht="45" customHeight="1" x14ac:dyDescent="0.25">
      <c r="A11" s="8" t="s">
        <v>289</v>
      </c>
      <c r="B11" s="39" t="s">
        <v>290</v>
      </c>
      <c r="C11" s="39"/>
      <c r="D11" s="5" t="s">
        <v>108</v>
      </c>
      <c r="E11" s="6">
        <v>1000</v>
      </c>
      <c r="F11" s="40">
        <v>600</v>
      </c>
      <c r="G11" s="41"/>
      <c r="H11" s="42"/>
      <c r="I11" s="43">
        <f>SUM(F11*E11)</f>
        <v>600000</v>
      </c>
      <c r="J11" s="43"/>
      <c r="K11" s="43"/>
      <c r="L11" s="8" t="s">
        <v>291</v>
      </c>
    </row>
    <row r="12" spans="1:13" ht="56.25" hidden="1" x14ac:dyDescent="0.25">
      <c r="A12" s="8" t="s">
        <v>178</v>
      </c>
      <c r="B12" s="64" t="s">
        <v>292</v>
      </c>
      <c r="C12" s="64"/>
      <c r="D12" s="5" t="s">
        <v>35</v>
      </c>
      <c r="E12" s="6">
        <v>1</v>
      </c>
      <c r="F12" s="40">
        <f>I12</f>
        <v>1319500</v>
      </c>
      <c r="G12" s="41"/>
      <c r="H12" s="42"/>
      <c r="I12" s="43">
        <f>I9*2%</f>
        <v>1319500</v>
      </c>
      <c r="J12" s="43"/>
      <c r="K12" s="43"/>
      <c r="L12" s="8" t="s">
        <v>293</v>
      </c>
    </row>
    <row r="13" spans="1:13" ht="30" customHeight="1" x14ac:dyDescent="0.25">
      <c r="A13" s="5" t="s">
        <v>294</v>
      </c>
      <c r="B13" s="64" t="s">
        <v>295</v>
      </c>
      <c r="C13" s="64"/>
      <c r="D13" s="5" t="s">
        <v>35</v>
      </c>
      <c r="E13" s="6">
        <v>1</v>
      </c>
      <c r="F13" s="40">
        <f>I13</f>
        <v>7000000</v>
      </c>
      <c r="G13" s="41"/>
      <c r="H13" s="42"/>
      <c r="I13" s="43">
        <v>7000000</v>
      </c>
      <c r="J13" s="43"/>
      <c r="K13" s="43"/>
      <c r="L13" s="8" t="s">
        <v>296</v>
      </c>
    </row>
    <row r="14" spans="1:13" ht="54.95" customHeight="1" x14ac:dyDescent="0.25">
      <c r="A14" s="5" t="s">
        <v>297</v>
      </c>
      <c r="B14" s="64" t="s">
        <v>298</v>
      </c>
      <c r="C14" s="64"/>
      <c r="D14" s="5" t="s">
        <v>35</v>
      </c>
      <c r="E14" s="6">
        <v>1</v>
      </c>
      <c r="F14" s="40">
        <f>I14</f>
        <v>3298250</v>
      </c>
      <c r="G14" s="41"/>
      <c r="H14" s="42"/>
      <c r="I14" s="43">
        <v>3298250</v>
      </c>
      <c r="J14" s="43"/>
      <c r="K14" s="43"/>
      <c r="L14" s="5" t="s">
        <v>358</v>
      </c>
      <c r="M14">
        <v>3298750</v>
      </c>
    </row>
    <row r="15" spans="1:13" ht="30" customHeight="1" x14ac:dyDescent="0.25">
      <c r="A15" s="65" t="s">
        <v>299</v>
      </c>
      <c r="B15" s="66"/>
      <c r="C15" s="66"/>
      <c r="D15" s="66"/>
      <c r="E15" s="66"/>
      <c r="F15" s="66"/>
      <c r="G15" s="66"/>
      <c r="H15" s="67"/>
      <c r="I15" s="68">
        <f>I9+I10+I11+I13+I14</f>
        <v>89597000</v>
      </c>
      <c r="J15" s="69"/>
      <c r="K15" s="69"/>
      <c r="L15" s="70"/>
    </row>
    <row r="16" spans="1:13" ht="19.5" x14ac:dyDescent="0.25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3"/>
    </row>
    <row r="17" spans="1:20" ht="24.95" customHeight="1" x14ac:dyDescent="0.25">
      <c r="A17" s="5" t="s">
        <v>300</v>
      </c>
      <c r="B17" s="60" t="s">
        <v>276</v>
      </c>
      <c r="C17" s="60"/>
      <c r="D17" s="5" t="s">
        <v>162</v>
      </c>
      <c r="E17" s="6" t="s">
        <v>301</v>
      </c>
      <c r="F17" s="40" t="s">
        <v>163</v>
      </c>
      <c r="G17" s="41"/>
      <c r="H17" s="42"/>
      <c r="I17" s="43" t="s">
        <v>123</v>
      </c>
      <c r="J17" s="43"/>
      <c r="K17" s="43"/>
      <c r="L17" s="5" t="s">
        <v>302</v>
      </c>
    </row>
    <row r="18" spans="1:20" ht="24.95" customHeight="1" x14ac:dyDescent="0.25">
      <c r="A18" s="7" t="s">
        <v>184</v>
      </c>
      <c r="B18" s="61" t="s">
        <v>303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O18" s="93">
        <f>M19+I21+I23+I25+I26+I27</f>
        <v>2525893</v>
      </c>
      <c r="P18" s="80"/>
    </row>
    <row r="19" spans="1:20" ht="90" customHeight="1" x14ac:dyDescent="0.25">
      <c r="A19" s="5" t="s">
        <v>304</v>
      </c>
      <c r="B19" s="62" t="s">
        <v>305</v>
      </c>
      <c r="C19" s="63"/>
      <c r="D19" s="5" t="s">
        <v>35</v>
      </c>
      <c r="E19" s="6">
        <v>1</v>
      </c>
      <c r="F19" s="40">
        <f>I19</f>
        <v>2525896</v>
      </c>
      <c r="G19" s="41"/>
      <c r="H19" s="42"/>
      <c r="I19" s="74">
        <v>2525896</v>
      </c>
      <c r="J19" s="75"/>
      <c r="K19" s="76"/>
      <c r="L19" s="11" t="s">
        <v>306</v>
      </c>
      <c r="M19">
        <v>902183</v>
      </c>
      <c r="O19" s="80" t="s">
        <v>389</v>
      </c>
      <c r="P19" s="80"/>
      <c r="Q19" s="80" t="s">
        <v>390</v>
      </c>
      <c r="R19" s="80"/>
      <c r="S19" s="80" t="s">
        <v>391</v>
      </c>
      <c r="T19" s="80"/>
    </row>
    <row r="20" spans="1:20" ht="30" customHeight="1" x14ac:dyDescent="0.25">
      <c r="A20" s="5" t="s">
        <v>106</v>
      </c>
      <c r="B20" s="62" t="s">
        <v>81</v>
      </c>
      <c r="C20" s="63"/>
      <c r="D20" s="5" t="s">
        <v>35</v>
      </c>
      <c r="E20" s="6">
        <v>1</v>
      </c>
      <c r="F20" s="40">
        <f>I20</f>
        <v>7006825</v>
      </c>
      <c r="G20" s="41"/>
      <c r="H20" s="42"/>
      <c r="I20" s="74">
        <v>7006825</v>
      </c>
      <c r="J20" s="75"/>
      <c r="K20" s="76"/>
      <c r="L20" s="9"/>
      <c r="O20" s="80">
        <f>SUM(I15*0.023)</f>
        <v>2060731</v>
      </c>
      <c r="P20" s="80"/>
      <c r="Q20" s="80">
        <f>SUM(I15*0.04)</f>
        <v>3583880</v>
      </c>
      <c r="R20" s="80"/>
      <c r="S20" s="80">
        <f>SUM(Q20+O20)</f>
        <v>5644611</v>
      </c>
      <c r="T20" s="80"/>
    </row>
    <row r="21" spans="1:20" ht="18.75" hidden="1" x14ac:dyDescent="0.25">
      <c r="A21" s="5" t="s">
        <v>289</v>
      </c>
      <c r="B21" s="62" t="s">
        <v>132</v>
      </c>
      <c r="C21" s="63"/>
      <c r="D21" s="5" t="s">
        <v>35</v>
      </c>
      <c r="E21" s="6">
        <v>1</v>
      </c>
      <c r="F21" s="40">
        <v>250000</v>
      </c>
      <c r="G21" s="41"/>
      <c r="H21" s="42"/>
      <c r="I21" s="90">
        <v>250000</v>
      </c>
      <c r="J21" s="91"/>
      <c r="K21" s="92"/>
      <c r="L21" s="9"/>
      <c r="O21" s="80" t="s">
        <v>392</v>
      </c>
      <c r="P21" s="80"/>
      <c r="Q21" s="80"/>
      <c r="R21" s="80"/>
    </row>
    <row r="22" spans="1:20" ht="30" customHeight="1" x14ac:dyDescent="0.25">
      <c r="A22" s="5" t="s">
        <v>307</v>
      </c>
      <c r="B22" s="62" t="s">
        <v>57</v>
      </c>
      <c r="C22" s="63"/>
      <c r="D22" s="5" t="s">
        <v>35</v>
      </c>
      <c r="E22" s="6">
        <v>1</v>
      </c>
      <c r="F22" s="40">
        <f>I22</f>
        <v>1000000</v>
      </c>
      <c r="G22" s="41"/>
      <c r="H22" s="42"/>
      <c r="I22" s="77">
        <v>1000000</v>
      </c>
      <c r="J22" s="78"/>
      <c r="K22" s="79"/>
      <c r="L22" s="8" t="s">
        <v>308</v>
      </c>
      <c r="O22" s="80">
        <f>3500*80%</f>
        <v>2800</v>
      </c>
      <c r="P22" s="80"/>
      <c r="Q22" s="80">
        <f>O22*3000</f>
        <v>8400000</v>
      </c>
      <c r="R22" s="80"/>
    </row>
    <row r="23" spans="1:20" ht="18.75" hidden="1" x14ac:dyDescent="0.25">
      <c r="A23" s="5" t="s">
        <v>309</v>
      </c>
      <c r="B23" s="62" t="s">
        <v>310</v>
      </c>
      <c r="C23" s="63"/>
      <c r="D23" s="5" t="s">
        <v>35</v>
      </c>
      <c r="E23" s="6">
        <v>1</v>
      </c>
      <c r="F23" s="40">
        <f>I23</f>
        <v>447985</v>
      </c>
      <c r="G23" s="41"/>
      <c r="H23" s="42"/>
      <c r="I23" s="40">
        <f>I15*0.5%</f>
        <v>447985</v>
      </c>
      <c r="J23" s="41"/>
      <c r="K23" s="42"/>
      <c r="L23" s="5" t="s">
        <v>61</v>
      </c>
    </row>
    <row r="24" spans="1:20" ht="30" customHeight="1" x14ac:dyDescent="0.25">
      <c r="A24" s="5" t="s">
        <v>56</v>
      </c>
      <c r="B24" s="62" t="s">
        <v>195</v>
      </c>
      <c r="C24" s="63"/>
      <c r="D24" s="5" t="s">
        <v>35</v>
      </c>
      <c r="E24" s="6">
        <v>1</v>
      </c>
      <c r="F24" s="40">
        <f>I24</f>
        <v>3030786</v>
      </c>
      <c r="G24" s="41"/>
      <c r="H24" s="42"/>
      <c r="I24" s="40">
        <v>3030786</v>
      </c>
      <c r="J24" s="41"/>
      <c r="K24" s="42"/>
      <c r="L24" s="5" t="s">
        <v>254</v>
      </c>
      <c r="O24" s="94">
        <f>I19+I20+I22+I28</f>
        <v>11429214</v>
      </c>
      <c r="P24" s="80"/>
      <c r="Q24" s="80">
        <f>SUM(I15+O24)*(1.03-1)</f>
        <v>3030786.4200000027</v>
      </c>
      <c r="R24" s="80"/>
    </row>
    <row r="25" spans="1:20" ht="18.75" hidden="1" x14ac:dyDescent="0.25">
      <c r="A25" s="5" t="s">
        <v>137</v>
      </c>
      <c r="B25" s="62" t="s">
        <v>138</v>
      </c>
      <c r="C25" s="63"/>
      <c r="D25" s="5" t="s">
        <v>35</v>
      </c>
      <c r="E25" s="6">
        <v>1</v>
      </c>
      <c r="F25" s="40">
        <v>200000</v>
      </c>
      <c r="G25" s="41"/>
      <c r="H25" s="42"/>
      <c r="I25" s="90">
        <v>200000</v>
      </c>
      <c r="J25" s="91"/>
      <c r="K25" s="92"/>
      <c r="L25" s="5"/>
    </row>
    <row r="26" spans="1:20" ht="18.75" hidden="1" x14ac:dyDescent="0.25">
      <c r="A26" s="5" t="s">
        <v>311</v>
      </c>
      <c r="B26" s="62" t="s">
        <v>312</v>
      </c>
      <c r="C26" s="63"/>
      <c r="D26" s="5" t="s">
        <v>35</v>
      </c>
      <c r="E26" s="6">
        <v>1</v>
      </c>
      <c r="F26" s="40">
        <f>I26</f>
        <v>65975</v>
      </c>
      <c r="G26" s="41"/>
      <c r="H26" s="42"/>
      <c r="I26" s="40">
        <f>I9*0.1%</f>
        <v>65975</v>
      </c>
      <c r="J26" s="41"/>
      <c r="K26" s="42"/>
      <c r="L26" s="5" t="s">
        <v>313</v>
      </c>
    </row>
    <row r="27" spans="1:20" ht="18.75" hidden="1" x14ac:dyDescent="0.25">
      <c r="A27" s="5" t="s">
        <v>140</v>
      </c>
      <c r="B27" s="62" t="s">
        <v>314</v>
      </c>
      <c r="C27" s="63"/>
      <c r="D27" s="5" t="s">
        <v>35</v>
      </c>
      <c r="E27" s="6">
        <v>1</v>
      </c>
      <c r="F27" s="40">
        <f>I27</f>
        <v>659750</v>
      </c>
      <c r="G27" s="41"/>
      <c r="H27" s="42"/>
      <c r="I27" s="40">
        <f>I9*1%</f>
        <v>659750</v>
      </c>
      <c r="J27" s="41"/>
      <c r="K27" s="42"/>
      <c r="L27" s="5" t="s">
        <v>71</v>
      </c>
    </row>
    <row r="28" spans="1:20" ht="30" customHeight="1" x14ac:dyDescent="0.25">
      <c r="A28" s="5" t="s">
        <v>59</v>
      </c>
      <c r="B28" s="62" t="s">
        <v>202</v>
      </c>
      <c r="C28" s="63"/>
      <c r="D28" s="5" t="s">
        <v>142</v>
      </c>
      <c r="E28" s="6">
        <v>1</v>
      </c>
      <c r="F28" s="40">
        <f>I28</f>
        <v>896493</v>
      </c>
      <c r="G28" s="41"/>
      <c r="H28" s="42"/>
      <c r="I28" s="40">
        <f>M28+N28</f>
        <v>896493</v>
      </c>
      <c r="J28" s="41"/>
      <c r="K28" s="42"/>
      <c r="L28" s="5" t="s">
        <v>143</v>
      </c>
      <c r="M28">
        <v>895970</v>
      </c>
      <c r="N28">
        <v>523</v>
      </c>
    </row>
    <row r="29" spans="1:20" ht="30" customHeight="1" x14ac:dyDescent="0.25">
      <c r="A29" s="81" t="s">
        <v>315</v>
      </c>
      <c r="B29" s="82"/>
      <c r="C29" s="82"/>
      <c r="D29" s="82"/>
      <c r="E29" s="82"/>
      <c r="F29" s="82"/>
      <c r="G29" s="82"/>
      <c r="H29" s="83"/>
      <c r="I29" s="68">
        <f>I19+I20+I22+I24+I28</f>
        <v>14460000</v>
      </c>
      <c r="J29" s="69"/>
      <c r="K29" s="69"/>
      <c r="L29" s="70"/>
    </row>
    <row r="30" spans="1:20" ht="18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20" ht="30" customHeight="1" x14ac:dyDescent="0.25">
      <c r="A31" s="84" t="s">
        <v>76</v>
      </c>
      <c r="B31" s="85"/>
      <c r="C31" s="85"/>
      <c r="D31" s="85"/>
      <c r="E31" s="85"/>
      <c r="F31" s="85"/>
      <c r="G31" s="85"/>
      <c r="H31" s="86"/>
      <c r="I31" s="87">
        <f>SUM(I15+I29)</f>
        <v>104057000</v>
      </c>
      <c r="J31" s="88"/>
      <c r="K31" s="88"/>
      <c r="L31" s="89"/>
    </row>
    <row r="32" spans="1:20" ht="20.25" thickBot="1" x14ac:dyDescent="0.3">
      <c r="A32" s="12"/>
      <c r="B32" s="12"/>
      <c r="C32" s="12"/>
      <c r="D32" s="12"/>
      <c r="E32" s="13"/>
      <c r="F32" s="13"/>
      <c r="G32" s="13"/>
      <c r="H32" s="13"/>
      <c r="I32" s="13"/>
      <c r="J32" s="13"/>
      <c r="K32" s="13"/>
      <c r="L32" s="12"/>
    </row>
    <row r="33" spans="1:12" ht="19.5" x14ac:dyDescent="0.25">
      <c r="A33" s="12"/>
      <c r="B33" s="12"/>
      <c r="C33" s="12"/>
      <c r="D33" s="105" t="s">
        <v>316</v>
      </c>
      <c r="E33" s="106"/>
      <c r="F33" s="106"/>
      <c r="G33" s="106"/>
      <c r="H33" s="157"/>
      <c r="I33" s="111">
        <f>SUM(I15/J4)</f>
        <v>25599.142857142859</v>
      </c>
      <c r="J33" s="111"/>
      <c r="K33" s="111"/>
      <c r="L33" s="112"/>
    </row>
    <row r="34" spans="1:12" ht="19.5" x14ac:dyDescent="0.25">
      <c r="A34" s="12"/>
      <c r="B34" s="12"/>
      <c r="C34" s="12"/>
      <c r="D34" s="108"/>
      <c r="E34" s="109"/>
      <c r="F34" s="109"/>
      <c r="G34" s="109"/>
      <c r="H34" s="158"/>
      <c r="I34" s="113"/>
      <c r="J34" s="113"/>
      <c r="K34" s="113"/>
      <c r="L34" s="114"/>
    </row>
    <row r="35" spans="1:12" ht="19.5" x14ac:dyDescent="0.25">
      <c r="A35" s="12"/>
      <c r="B35" s="12"/>
      <c r="C35" s="12"/>
      <c r="D35" s="95" t="s">
        <v>317</v>
      </c>
      <c r="E35" s="96"/>
      <c r="F35" s="96"/>
      <c r="G35" s="96"/>
      <c r="H35" s="159"/>
      <c r="I35" s="101">
        <f>SUM(I31/J4)</f>
        <v>29730.571428571428</v>
      </c>
      <c r="J35" s="101"/>
      <c r="K35" s="101"/>
      <c r="L35" s="102"/>
    </row>
    <row r="36" spans="1:12" ht="20.25" thickBot="1" x14ac:dyDescent="0.3">
      <c r="A36" s="12"/>
      <c r="B36" s="12"/>
      <c r="C36" s="12"/>
      <c r="D36" s="98"/>
      <c r="E36" s="99"/>
      <c r="F36" s="99"/>
      <c r="G36" s="99"/>
      <c r="H36" s="160"/>
      <c r="I36" s="103"/>
      <c r="J36" s="103"/>
      <c r="K36" s="103"/>
      <c r="L36" s="104"/>
    </row>
  </sheetData>
  <mergeCells count="89">
    <mergeCell ref="A31:H31"/>
    <mergeCell ref="I31:L31"/>
    <mergeCell ref="D33:H34"/>
    <mergeCell ref="I33:L34"/>
    <mergeCell ref="D35:H36"/>
    <mergeCell ref="I35:L36"/>
    <mergeCell ref="A30:L30"/>
    <mergeCell ref="B26:C26"/>
    <mergeCell ref="F26:H26"/>
    <mergeCell ref="I26:K26"/>
    <mergeCell ref="B27:C27"/>
    <mergeCell ref="F27:H27"/>
    <mergeCell ref="I27:K27"/>
    <mergeCell ref="B28:C28"/>
    <mergeCell ref="F28:H28"/>
    <mergeCell ref="I28:K28"/>
    <mergeCell ref="A29:H29"/>
    <mergeCell ref="I29:L29"/>
    <mergeCell ref="B24:C24"/>
    <mergeCell ref="F24:H24"/>
    <mergeCell ref="I24:K24"/>
    <mergeCell ref="B25:C25"/>
    <mergeCell ref="F25:H25"/>
    <mergeCell ref="I25:K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C17"/>
    <mergeCell ref="F17:H17"/>
    <mergeCell ref="I17:K17"/>
    <mergeCell ref="B18:L18"/>
    <mergeCell ref="B19:C19"/>
    <mergeCell ref="F19:H19"/>
    <mergeCell ref="I19:K19"/>
    <mergeCell ref="A16:L16"/>
    <mergeCell ref="B12:C12"/>
    <mergeCell ref="F12:H12"/>
    <mergeCell ref="I12:K12"/>
    <mergeCell ref="B13:C13"/>
    <mergeCell ref="F13:H13"/>
    <mergeCell ref="I13:K13"/>
    <mergeCell ref="B14:C14"/>
    <mergeCell ref="F14:H14"/>
    <mergeCell ref="I14:K14"/>
    <mergeCell ref="A15:H15"/>
    <mergeCell ref="I15:L15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  <mergeCell ref="O18:P18"/>
    <mergeCell ref="O19:P19"/>
    <mergeCell ref="Q19:R19"/>
    <mergeCell ref="S19:T19"/>
    <mergeCell ref="O20:P20"/>
    <mergeCell ref="Q20:R20"/>
    <mergeCell ref="S20:T20"/>
    <mergeCell ref="O21:R21"/>
    <mergeCell ref="O22:P22"/>
    <mergeCell ref="Q22:R22"/>
    <mergeCell ref="O24:P24"/>
    <mergeCell ref="Q24:R24"/>
  </mergeCells>
  <phoneticPr fontId="3" type="noConversion"/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zoomScale="60" zoomScaleNormal="100" workbookViewId="0">
      <selection activeCell="L27" sqref="L27"/>
    </sheetView>
  </sheetViews>
  <sheetFormatPr defaultRowHeight="16.5" x14ac:dyDescent="0.25"/>
  <cols>
    <col min="1" max="2" width="10.625" customWidth="1"/>
    <col min="3" max="3" width="15.625" customWidth="1"/>
    <col min="4" max="8" width="10.625" customWidth="1"/>
    <col min="12" max="12" width="30.625" customWidth="1"/>
  </cols>
  <sheetData>
    <row r="1" spans="1:12" x14ac:dyDescent="0.25">
      <c r="A1" s="44" t="s">
        <v>150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thickBot="1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60" customHeight="1" x14ac:dyDescent="0.25">
      <c r="A3" s="45" t="s">
        <v>318</v>
      </c>
      <c r="B3" s="132">
        <v>5</v>
      </c>
      <c r="C3" s="1" t="s">
        <v>152</v>
      </c>
      <c r="D3" s="49" t="s">
        <v>378</v>
      </c>
      <c r="E3" s="49"/>
      <c r="F3" s="49"/>
      <c r="G3" s="49"/>
      <c r="H3" s="50" t="s">
        <v>154</v>
      </c>
      <c r="I3" s="2" t="s">
        <v>155</v>
      </c>
      <c r="J3" s="52" t="s">
        <v>319</v>
      </c>
      <c r="K3" s="52"/>
      <c r="L3" s="53"/>
    </row>
    <row r="4" spans="1:12" ht="57" thickBot="1" x14ac:dyDescent="0.3">
      <c r="A4" s="46"/>
      <c r="B4" s="133"/>
      <c r="C4" s="3" t="s">
        <v>157</v>
      </c>
      <c r="D4" s="54" t="s">
        <v>377</v>
      </c>
      <c r="E4" s="54"/>
      <c r="F4" s="54"/>
      <c r="G4" s="54"/>
      <c r="H4" s="51"/>
      <c r="I4" s="4" t="s">
        <v>320</v>
      </c>
      <c r="J4" s="55">
        <v>2000</v>
      </c>
      <c r="K4" s="56"/>
      <c r="L4" s="57"/>
    </row>
    <row r="5" spans="1:12" x14ac:dyDescent="0.25">
      <c r="A5" s="146" t="s">
        <v>321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24.95" customHeight="1" x14ac:dyDescent="0.25">
      <c r="A7" s="5" t="s">
        <v>94</v>
      </c>
      <c r="B7" s="60" t="s">
        <v>161</v>
      </c>
      <c r="C7" s="60"/>
      <c r="D7" s="5" t="s">
        <v>322</v>
      </c>
      <c r="E7" s="6" t="s">
        <v>323</v>
      </c>
      <c r="F7" s="40" t="s">
        <v>324</v>
      </c>
      <c r="G7" s="41"/>
      <c r="H7" s="42"/>
      <c r="I7" s="43" t="s">
        <v>325</v>
      </c>
      <c r="J7" s="43"/>
      <c r="K7" s="43"/>
      <c r="L7" s="5" t="s">
        <v>280</v>
      </c>
    </row>
    <row r="8" spans="1:12" ht="24.95" customHeight="1" x14ac:dyDescent="0.25">
      <c r="A8" s="7" t="s">
        <v>326</v>
      </c>
      <c r="B8" s="61" t="s">
        <v>327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30" customHeight="1" x14ac:dyDescent="0.25">
      <c r="A9" s="8" t="s">
        <v>328</v>
      </c>
      <c r="B9" s="39" t="s">
        <v>23</v>
      </c>
      <c r="C9" s="39"/>
      <c r="D9" s="5" t="s">
        <v>329</v>
      </c>
      <c r="E9" s="6">
        <v>2000</v>
      </c>
      <c r="F9" s="40">
        <v>18850</v>
      </c>
      <c r="G9" s="41"/>
      <c r="H9" s="42"/>
      <c r="I9" s="43">
        <f>F9*E9</f>
        <v>37700000</v>
      </c>
      <c r="J9" s="43"/>
      <c r="K9" s="43"/>
      <c r="L9" s="15"/>
    </row>
    <row r="10" spans="1:12" ht="30" customHeight="1" x14ac:dyDescent="0.25">
      <c r="A10" s="8" t="s">
        <v>330</v>
      </c>
      <c r="B10" s="39" t="s">
        <v>331</v>
      </c>
      <c r="C10" s="39"/>
      <c r="D10" s="5" t="s">
        <v>108</v>
      </c>
      <c r="E10" s="6">
        <v>0</v>
      </c>
      <c r="F10" s="40">
        <v>600</v>
      </c>
      <c r="G10" s="41"/>
      <c r="H10" s="42"/>
      <c r="I10" s="43">
        <f>SUM(F10*E10)</f>
        <v>0</v>
      </c>
      <c r="J10" s="43"/>
      <c r="K10" s="43"/>
      <c r="L10" s="5"/>
    </row>
    <row r="11" spans="1:12" ht="9.9499999999999993" hidden="1" x14ac:dyDescent="0.25">
      <c r="A11" s="8" t="s">
        <v>235</v>
      </c>
      <c r="B11" s="64" t="s">
        <v>332</v>
      </c>
      <c r="C11" s="64"/>
      <c r="D11" s="5" t="s">
        <v>35</v>
      </c>
      <c r="E11" s="6">
        <v>1</v>
      </c>
      <c r="F11" s="40">
        <f>I11</f>
        <v>754000</v>
      </c>
      <c r="G11" s="41"/>
      <c r="H11" s="42"/>
      <c r="I11" s="43">
        <f>I9*2%</f>
        <v>754000</v>
      </c>
      <c r="J11" s="43"/>
      <c r="K11" s="43"/>
      <c r="L11" s="8" t="s">
        <v>333</v>
      </c>
    </row>
    <row r="12" spans="1:12" ht="30" customHeight="1" x14ac:dyDescent="0.25">
      <c r="A12" s="5" t="s">
        <v>109</v>
      </c>
      <c r="B12" s="64" t="s">
        <v>238</v>
      </c>
      <c r="C12" s="64"/>
      <c r="D12" s="5" t="s">
        <v>35</v>
      </c>
      <c r="E12" s="6">
        <v>1</v>
      </c>
      <c r="F12" s="40">
        <f>I12</f>
        <v>3060000</v>
      </c>
      <c r="G12" s="41"/>
      <c r="H12" s="42"/>
      <c r="I12" s="43">
        <v>3060000</v>
      </c>
      <c r="J12" s="43"/>
      <c r="K12" s="43"/>
      <c r="L12" s="8" t="s">
        <v>296</v>
      </c>
    </row>
    <row r="13" spans="1:12" ht="54.95" customHeight="1" x14ac:dyDescent="0.25">
      <c r="A13" s="5" t="s">
        <v>294</v>
      </c>
      <c r="B13" s="64" t="s">
        <v>334</v>
      </c>
      <c r="C13" s="64"/>
      <c r="D13" s="5" t="s">
        <v>335</v>
      </c>
      <c r="E13" s="6">
        <v>1</v>
      </c>
      <c r="F13" s="40">
        <f>I13</f>
        <v>1885000</v>
      </c>
      <c r="G13" s="41"/>
      <c r="H13" s="42"/>
      <c r="I13" s="43">
        <f>I9*5%</f>
        <v>1885000</v>
      </c>
      <c r="J13" s="43"/>
      <c r="K13" s="43"/>
      <c r="L13" s="5" t="s">
        <v>357</v>
      </c>
    </row>
    <row r="14" spans="1:12" ht="30" customHeight="1" x14ac:dyDescent="0.25">
      <c r="A14" s="65" t="s">
        <v>118</v>
      </c>
      <c r="B14" s="66"/>
      <c r="C14" s="66"/>
      <c r="D14" s="66"/>
      <c r="E14" s="66"/>
      <c r="F14" s="66"/>
      <c r="G14" s="66"/>
      <c r="H14" s="67"/>
      <c r="I14" s="68">
        <f>I9+I12+I13</f>
        <v>42645000</v>
      </c>
      <c r="J14" s="69"/>
      <c r="K14" s="69"/>
      <c r="L14" s="70"/>
    </row>
    <row r="15" spans="1:12" ht="19.5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ht="24.95" customHeight="1" x14ac:dyDescent="0.25">
      <c r="A16" s="5" t="s">
        <v>41</v>
      </c>
      <c r="B16" s="60" t="s">
        <v>120</v>
      </c>
      <c r="C16" s="60"/>
      <c r="D16" s="5" t="s">
        <v>162</v>
      </c>
      <c r="E16" s="6" t="s">
        <v>336</v>
      </c>
      <c r="F16" s="147" t="s">
        <v>163</v>
      </c>
      <c r="G16" s="148"/>
      <c r="H16" s="149"/>
      <c r="I16" s="43" t="s">
        <v>337</v>
      </c>
      <c r="J16" s="43"/>
      <c r="K16" s="43"/>
      <c r="L16" s="5" t="s">
        <v>100</v>
      </c>
    </row>
    <row r="17" spans="1:20" ht="24.95" customHeight="1" x14ac:dyDescent="0.25">
      <c r="A17" s="7" t="s">
        <v>338</v>
      </c>
      <c r="B17" s="61" t="s">
        <v>245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O17" s="93">
        <f>M18+I20+I22+I24+I25+I26</f>
        <v>1629375</v>
      </c>
      <c r="P17" s="80"/>
    </row>
    <row r="18" spans="1:20" ht="90" customHeight="1" x14ac:dyDescent="0.25">
      <c r="A18" s="5" t="s">
        <v>103</v>
      </c>
      <c r="B18" s="62" t="s">
        <v>186</v>
      </c>
      <c r="C18" s="63"/>
      <c r="D18" s="5" t="s">
        <v>35</v>
      </c>
      <c r="E18" s="6">
        <v>1</v>
      </c>
      <c r="F18" s="147">
        <f>I18</f>
        <v>1629375</v>
      </c>
      <c r="G18" s="148"/>
      <c r="H18" s="149"/>
      <c r="I18" s="74">
        <v>1629375</v>
      </c>
      <c r="J18" s="75"/>
      <c r="K18" s="76"/>
      <c r="L18" s="11" t="s">
        <v>379</v>
      </c>
      <c r="M18">
        <v>551450</v>
      </c>
      <c r="O18" s="80" t="s">
        <v>393</v>
      </c>
      <c r="P18" s="80"/>
      <c r="Q18" s="80" t="s">
        <v>394</v>
      </c>
      <c r="R18" s="80"/>
      <c r="S18" s="80" t="s">
        <v>395</v>
      </c>
      <c r="T18" s="80"/>
    </row>
    <row r="19" spans="1:20" ht="30" customHeight="1" x14ac:dyDescent="0.25">
      <c r="A19" s="5" t="s">
        <v>129</v>
      </c>
      <c r="B19" s="62" t="s">
        <v>130</v>
      </c>
      <c r="C19" s="63"/>
      <c r="D19" s="5" t="s">
        <v>35</v>
      </c>
      <c r="E19" s="6">
        <v>1</v>
      </c>
      <c r="F19" s="147">
        <f>I19</f>
        <v>3631890</v>
      </c>
      <c r="G19" s="148"/>
      <c r="H19" s="149"/>
      <c r="I19" s="74">
        <v>3631890</v>
      </c>
      <c r="J19" s="75"/>
      <c r="K19" s="76"/>
      <c r="L19" s="9"/>
      <c r="O19" s="80">
        <f>SUM(I14*0.023)</f>
        <v>980835</v>
      </c>
      <c r="P19" s="80"/>
      <c r="Q19" s="80">
        <f>SUM(I14*0.04)</f>
        <v>1705800</v>
      </c>
      <c r="R19" s="80"/>
      <c r="S19" s="80">
        <f>SUM(Q19+O19)</f>
        <v>2686635</v>
      </c>
      <c r="T19" s="80"/>
    </row>
    <row r="20" spans="1:20" ht="18.75" hidden="1" x14ac:dyDescent="0.25">
      <c r="A20" s="5" t="s">
        <v>235</v>
      </c>
      <c r="B20" s="62" t="s">
        <v>132</v>
      </c>
      <c r="C20" s="63"/>
      <c r="D20" s="5" t="s">
        <v>35</v>
      </c>
      <c r="E20" s="6">
        <v>1</v>
      </c>
      <c r="F20" s="147">
        <v>250000</v>
      </c>
      <c r="G20" s="148"/>
      <c r="H20" s="149"/>
      <c r="I20" s="90">
        <v>250000</v>
      </c>
      <c r="J20" s="91"/>
      <c r="K20" s="92"/>
      <c r="L20" s="9"/>
      <c r="O20" s="80" t="s">
        <v>396</v>
      </c>
      <c r="P20" s="80"/>
      <c r="Q20" s="80"/>
      <c r="R20" s="80"/>
    </row>
    <row r="21" spans="1:20" ht="30" customHeight="1" x14ac:dyDescent="0.25">
      <c r="A21" s="5" t="s">
        <v>373</v>
      </c>
      <c r="B21" s="62" t="s">
        <v>57</v>
      </c>
      <c r="C21" s="63"/>
      <c r="D21" s="5" t="s">
        <v>35</v>
      </c>
      <c r="E21" s="6">
        <v>1</v>
      </c>
      <c r="F21" s="147">
        <f>I21</f>
        <v>3250000</v>
      </c>
      <c r="G21" s="148"/>
      <c r="H21" s="149"/>
      <c r="I21" s="77">
        <v>3250000</v>
      </c>
      <c r="J21" s="78"/>
      <c r="K21" s="79"/>
      <c r="L21" s="8" t="s">
        <v>58</v>
      </c>
      <c r="O21" s="80">
        <f>2000*80%</f>
        <v>1600</v>
      </c>
      <c r="P21" s="80"/>
      <c r="Q21" s="80">
        <f>O21*3000</f>
        <v>4800000</v>
      </c>
      <c r="R21" s="80"/>
    </row>
    <row r="22" spans="1:20" ht="18.75" hidden="1" x14ac:dyDescent="0.25">
      <c r="A22" s="5" t="s">
        <v>339</v>
      </c>
      <c r="B22" s="62" t="s">
        <v>252</v>
      </c>
      <c r="C22" s="63"/>
      <c r="D22" s="5" t="s">
        <v>35</v>
      </c>
      <c r="E22" s="6">
        <v>1</v>
      </c>
      <c r="F22" s="147">
        <f>I22</f>
        <v>213225</v>
      </c>
      <c r="G22" s="148"/>
      <c r="H22" s="149"/>
      <c r="I22" s="40">
        <f>I14*0.5%</f>
        <v>213225</v>
      </c>
      <c r="J22" s="41"/>
      <c r="K22" s="42"/>
      <c r="L22" s="5" t="s">
        <v>340</v>
      </c>
    </row>
    <row r="23" spans="1:20" ht="30" customHeight="1" x14ac:dyDescent="0.25">
      <c r="A23" s="5" t="s">
        <v>374</v>
      </c>
      <c r="B23" s="62" t="s">
        <v>341</v>
      </c>
      <c r="C23" s="63"/>
      <c r="D23" s="5" t="s">
        <v>35</v>
      </c>
      <c r="E23" s="6">
        <v>1</v>
      </c>
      <c r="F23" s="147">
        <f>I23</f>
        <v>1547056</v>
      </c>
      <c r="G23" s="148"/>
      <c r="H23" s="149"/>
      <c r="I23" s="40">
        <v>1547056</v>
      </c>
      <c r="J23" s="41"/>
      <c r="K23" s="42"/>
      <c r="L23" s="5" t="s">
        <v>342</v>
      </c>
      <c r="O23" s="94">
        <f>I18+I19+I21+I27</f>
        <v>8937944</v>
      </c>
      <c r="P23" s="80"/>
      <c r="Q23" s="80">
        <f>SUM(I14+O23)*(1.03-1)</f>
        <v>1547488.3200000015</v>
      </c>
      <c r="R23" s="80"/>
    </row>
    <row r="24" spans="1:20" ht="9.9499999999999993" hidden="1" x14ac:dyDescent="0.25">
      <c r="A24" s="5" t="s">
        <v>343</v>
      </c>
      <c r="B24" s="62" t="s">
        <v>344</v>
      </c>
      <c r="C24" s="63"/>
      <c r="D24" s="5" t="s">
        <v>35</v>
      </c>
      <c r="E24" s="6">
        <v>1</v>
      </c>
      <c r="F24" s="147">
        <v>200000</v>
      </c>
      <c r="G24" s="148"/>
      <c r="H24" s="149"/>
      <c r="I24" s="90">
        <v>200000</v>
      </c>
      <c r="J24" s="91"/>
      <c r="K24" s="92"/>
      <c r="L24" s="5"/>
    </row>
    <row r="25" spans="1:20" ht="9.9499999999999993" hidden="1" x14ac:dyDescent="0.25">
      <c r="A25" s="5" t="s">
        <v>345</v>
      </c>
      <c r="B25" s="62" t="s">
        <v>346</v>
      </c>
      <c r="C25" s="63"/>
      <c r="D25" s="5" t="s">
        <v>35</v>
      </c>
      <c r="E25" s="6">
        <v>1</v>
      </c>
      <c r="F25" s="147">
        <f>I25</f>
        <v>37700</v>
      </c>
      <c r="G25" s="148"/>
      <c r="H25" s="149"/>
      <c r="I25" s="40">
        <f>I9*0.1%</f>
        <v>37700</v>
      </c>
      <c r="J25" s="41"/>
      <c r="K25" s="42"/>
      <c r="L25" s="5" t="s">
        <v>347</v>
      </c>
    </row>
    <row r="26" spans="1:20" ht="9.9499999999999993" hidden="1" x14ac:dyDescent="0.25">
      <c r="A26" s="5" t="s">
        <v>348</v>
      </c>
      <c r="B26" s="62" t="s">
        <v>349</v>
      </c>
      <c r="C26" s="63"/>
      <c r="D26" s="5" t="s">
        <v>35</v>
      </c>
      <c r="E26" s="6">
        <v>1</v>
      </c>
      <c r="F26" s="147">
        <f>I26</f>
        <v>377000</v>
      </c>
      <c r="G26" s="148"/>
      <c r="H26" s="149"/>
      <c r="I26" s="40">
        <f>I9*1%</f>
        <v>377000</v>
      </c>
      <c r="J26" s="41"/>
      <c r="K26" s="42"/>
      <c r="L26" s="5" t="s">
        <v>350</v>
      </c>
    </row>
    <row r="27" spans="1:20" ht="30" customHeight="1" x14ac:dyDescent="0.25">
      <c r="A27" s="5" t="s">
        <v>375</v>
      </c>
      <c r="B27" s="62" t="s">
        <v>351</v>
      </c>
      <c r="C27" s="63"/>
      <c r="D27" s="5" t="s">
        <v>352</v>
      </c>
      <c r="E27" s="6">
        <v>1</v>
      </c>
      <c r="F27" s="147">
        <f>I27</f>
        <v>426679</v>
      </c>
      <c r="G27" s="148"/>
      <c r="H27" s="149"/>
      <c r="I27" s="40">
        <f>M27+N27</f>
        <v>426679</v>
      </c>
      <c r="J27" s="41"/>
      <c r="K27" s="42"/>
      <c r="L27" s="5" t="s">
        <v>353</v>
      </c>
      <c r="M27">
        <v>426450</v>
      </c>
      <c r="N27">
        <v>229</v>
      </c>
    </row>
    <row r="28" spans="1:20" ht="30" customHeight="1" x14ac:dyDescent="0.25">
      <c r="A28" s="81" t="s">
        <v>376</v>
      </c>
      <c r="B28" s="82"/>
      <c r="C28" s="82"/>
      <c r="D28" s="82"/>
      <c r="E28" s="82"/>
      <c r="F28" s="82"/>
      <c r="G28" s="82"/>
      <c r="H28" s="149"/>
      <c r="I28" s="68">
        <f>I18+I19+I21+I23+I27</f>
        <v>10485000</v>
      </c>
      <c r="J28" s="69"/>
      <c r="K28" s="69"/>
      <c r="L28" s="70"/>
    </row>
    <row r="29" spans="1:20" ht="18.7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20" ht="30" customHeight="1" x14ac:dyDescent="0.25">
      <c r="A30" s="84" t="s">
        <v>354</v>
      </c>
      <c r="B30" s="85"/>
      <c r="C30" s="85"/>
      <c r="D30" s="85"/>
      <c r="E30" s="85"/>
      <c r="F30" s="85"/>
      <c r="G30" s="85"/>
      <c r="H30" s="86"/>
      <c r="I30" s="87">
        <f>SUM(I14+I28)</f>
        <v>53130000</v>
      </c>
      <c r="J30" s="88"/>
      <c r="K30" s="88"/>
      <c r="L30" s="89"/>
    </row>
    <row r="31" spans="1:20" ht="20.25" thickBot="1" x14ac:dyDescent="0.3">
      <c r="A31" s="12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2"/>
    </row>
    <row r="32" spans="1:20" ht="19.5" x14ac:dyDescent="0.25">
      <c r="A32" s="12"/>
      <c r="B32" s="12"/>
      <c r="C32" s="12"/>
      <c r="D32" s="105" t="s">
        <v>355</v>
      </c>
      <c r="E32" s="106"/>
      <c r="F32" s="106"/>
      <c r="G32" s="106"/>
      <c r="H32" s="157"/>
      <c r="I32" s="111">
        <f>SUM(I14/J4)</f>
        <v>21322.5</v>
      </c>
      <c r="J32" s="111"/>
      <c r="K32" s="111"/>
      <c r="L32" s="112"/>
    </row>
    <row r="33" spans="1:12" ht="19.5" x14ac:dyDescent="0.25">
      <c r="A33" s="12"/>
      <c r="B33" s="12"/>
      <c r="C33" s="12"/>
      <c r="D33" s="108"/>
      <c r="E33" s="109"/>
      <c r="F33" s="109"/>
      <c r="G33" s="109"/>
      <c r="H33" s="158"/>
      <c r="I33" s="113"/>
      <c r="J33" s="113"/>
      <c r="K33" s="113"/>
      <c r="L33" s="114"/>
    </row>
    <row r="34" spans="1:12" ht="19.5" x14ac:dyDescent="0.25">
      <c r="A34" s="12"/>
      <c r="B34" s="12"/>
      <c r="C34" s="12"/>
      <c r="D34" s="95" t="s">
        <v>356</v>
      </c>
      <c r="E34" s="96"/>
      <c r="F34" s="96"/>
      <c r="G34" s="96"/>
      <c r="H34" s="159"/>
      <c r="I34" s="101">
        <f>SUM(I30/J4)</f>
        <v>26565</v>
      </c>
      <c r="J34" s="101"/>
      <c r="K34" s="101"/>
      <c r="L34" s="102"/>
    </row>
    <row r="35" spans="1:12" ht="20.25" thickBot="1" x14ac:dyDescent="0.3">
      <c r="A35" s="12"/>
      <c r="B35" s="12"/>
      <c r="C35" s="12"/>
      <c r="D35" s="98"/>
      <c r="E35" s="99"/>
      <c r="F35" s="99"/>
      <c r="G35" s="99"/>
      <c r="H35" s="160"/>
      <c r="I35" s="103"/>
      <c r="J35" s="103"/>
      <c r="K35" s="103"/>
      <c r="L35" s="104"/>
    </row>
  </sheetData>
  <mergeCells count="86">
    <mergeCell ref="D34:H35"/>
    <mergeCell ref="I34:L35"/>
    <mergeCell ref="A28:H28"/>
    <mergeCell ref="I28:L28"/>
    <mergeCell ref="A29:L29"/>
    <mergeCell ref="A30:H30"/>
    <mergeCell ref="I30:L30"/>
    <mergeCell ref="D32:H33"/>
    <mergeCell ref="I32:L33"/>
    <mergeCell ref="B26:C26"/>
    <mergeCell ref="F26:H26"/>
    <mergeCell ref="I26:K26"/>
    <mergeCell ref="B27:C27"/>
    <mergeCell ref="F27:H27"/>
    <mergeCell ref="I27:K27"/>
    <mergeCell ref="B24:C24"/>
    <mergeCell ref="F24:H24"/>
    <mergeCell ref="I24:K24"/>
    <mergeCell ref="B25:C25"/>
    <mergeCell ref="F25:H25"/>
    <mergeCell ref="I25:K25"/>
    <mergeCell ref="B22:C22"/>
    <mergeCell ref="F22:H22"/>
    <mergeCell ref="I22:K22"/>
    <mergeCell ref="B23:C23"/>
    <mergeCell ref="F23:H23"/>
    <mergeCell ref="I23:K23"/>
    <mergeCell ref="B20:C20"/>
    <mergeCell ref="F20:H20"/>
    <mergeCell ref="I20:K20"/>
    <mergeCell ref="B21:C21"/>
    <mergeCell ref="F21:H21"/>
    <mergeCell ref="I21:K21"/>
    <mergeCell ref="B17:L17"/>
    <mergeCell ref="B18:C18"/>
    <mergeCell ref="F18:H18"/>
    <mergeCell ref="I18:K18"/>
    <mergeCell ref="B19:C19"/>
    <mergeCell ref="F19:H19"/>
    <mergeCell ref="I19:K19"/>
    <mergeCell ref="A14:H14"/>
    <mergeCell ref="I14:L14"/>
    <mergeCell ref="A15:L15"/>
    <mergeCell ref="B16:C16"/>
    <mergeCell ref="F16:H16"/>
    <mergeCell ref="I16:K16"/>
    <mergeCell ref="B12:C12"/>
    <mergeCell ref="F12:H12"/>
    <mergeCell ref="I12:K12"/>
    <mergeCell ref="B13:C13"/>
    <mergeCell ref="F13:H13"/>
    <mergeCell ref="I13:K13"/>
    <mergeCell ref="B10:C10"/>
    <mergeCell ref="F10:H10"/>
    <mergeCell ref="I10:K10"/>
    <mergeCell ref="B11:C11"/>
    <mergeCell ref="F11:H11"/>
    <mergeCell ref="I11:K11"/>
    <mergeCell ref="B9:C9"/>
    <mergeCell ref="F9:H9"/>
    <mergeCell ref="I9:K9"/>
    <mergeCell ref="A1:L2"/>
    <mergeCell ref="A3:A4"/>
    <mergeCell ref="B3:B4"/>
    <mergeCell ref="D3:G3"/>
    <mergeCell ref="H3:H4"/>
    <mergeCell ref="J3:L3"/>
    <mergeCell ref="D4:G4"/>
    <mergeCell ref="J4:L4"/>
    <mergeCell ref="A5:L6"/>
    <mergeCell ref="B7:C7"/>
    <mergeCell ref="F7:H7"/>
    <mergeCell ref="I7:K7"/>
    <mergeCell ref="B8:L8"/>
    <mergeCell ref="O17:P17"/>
    <mergeCell ref="O18:P18"/>
    <mergeCell ref="Q18:R18"/>
    <mergeCell ref="S18:T18"/>
    <mergeCell ref="O19:P19"/>
    <mergeCell ref="Q19:R19"/>
    <mergeCell ref="S19:T19"/>
    <mergeCell ref="O20:R20"/>
    <mergeCell ref="O21:P21"/>
    <mergeCell ref="Q21:R21"/>
    <mergeCell ref="O23:P23"/>
    <mergeCell ref="Q23:R23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4" sqref="D4:E4"/>
    </sheetView>
  </sheetViews>
  <sheetFormatPr defaultRowHeight="16.5" x14ac:dyDescent="0.25"/>
  <sheetData>
    <row r="1" spans="1:9" x14ac:dyDescent="0.25">
      <c r="A1" s="27"/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 t="s">
        <v>397</v>
      </c>
      <c r="B2" s="161" t="s">
        <v>398</v>
      </c>
      <c r="C2" s="161"/>
      <c r="D2" s="161" t="s">
        <v>399</v>
      </c>
      <c r="E2" s="161"/>
      <c r="F2" s="161" t="s">
        <v>400</v>
      </c>
      <c r="G2" s="161"/>
      <c r="H2" s="161" t="s">
        <v>401</v>
      </c>
      <c r="I2" s="162"/>
    </row>
    <row r="3" spans="1:9" x14ac:dyDescent="0.25">
      <c r="A3" s="30" t="s">
        <v>402</v>
      </c>
      <c r="B3" s="161" t="s">
        <v>403</v>
      </c>
      <c r="C3" s="161"/>
      <c r="D3" s="161">
        <v>4850</v>
      </c>
      <c r="E3" s="161"/>
      <c r="F3" s="31" t="s">
        <v>404</v>
      </c>
      <c r="G3" s="31" t="s">
        <v>405</v>
      </c>
      <c r="H3" s="163">
        <v>124708000</v>
      </c>
      <c r="I3" s="164"/>
    </row>
    <row r="4" spans="1:9" x14ac:dyDescent="0.25">
      <c r="A4" s="30">
        <v>1</v>
      </c>
      <c r="B4" s="161" t="s">
        <v>406</v>
      </c>
      <c r="C4" s="161"/>
      <c r="D4" s="161">
        <v>3100</v>
      </c>
      <c r="E4" s="161"/>
      <c r="F4" s="31" t="s">
        <v>407</v>
      </c>
      <c r="G4" s="31"/>
      <c r="H4" s="163">
        <v>80920000</v>
      </c>
      <c r="I4" s="164"/>
    </row>
    <row r="5" spans="1:9" x14ac:dyDescent="0.25">
      <c r="A5" s="30">
        <v>2</v>
      </c>
      <c r="B5" s="161" t="s">
        <v>408</v>
      </c>
      <c r="C5" s="161"/>
      <c r="D5" s="161">
        <v>2700</v>
      </c>
      <c r="E5" s="161"/>
      <c r="F5" s="31" t="s">
        <v>404</v>
      </c>
      <c r="G5" s="31"/>
      <c r="H5" s="163">
        <v>74806000</v>
      </c>
      <c r="I5" s="164"/>
    </row>
    <row r="6" spans="1:9" x14ac:dyDescent="0.25">
      <c r="A6" s="30">
        <v>3</v>
      </c>
      <c r="B6" s="161" t="s">
        <v>409</v>
      </c>
      <c r="C6" s="161"/>
      <c r="D6" s="161">
        <v>5000</v>
      </c>
      <c r="E6" s="161"/>
      <c r="F6" s="31" t="s">
        <v>404</v>
      </c>
      <c r="G6" s="31" t="s">
        <v>405</v>
      </c>
      <c r="H6" s="163">
        <v>119104000</v>
      </c>
      <c r="I6" s="164"/>
    </row>
    <row r="7" spans="1:9" x14ac:dyDescent="0.25">
      <c r="A7" s="30">
        <v>4</v>
      </c>
      <c r="B7" s="161" t="s">
        <v>410</v>
      </c>
      <c r="C7" s="161"/>
      <c r="D7" s="161">
        <v>3500</v>
      </c>
      <c r="E7" s="161"/>
      <c r="F7" s="31" t="s">
        <v>411</v>
      </c>
      <c r="G7" s="31"/>
      <c r="H7" s="163">
        <v>104056000</v>
      </c>
      <c r="I7" s="164"/>
    </row>
    <row r="8" spans="1:9" x14ac:dyDescent="0.25">
      <c r="A8" s="30">
        <v>5</v>
      </c>
      <c r="B8" s="161" t="s">
        <v>412</v>
      </c>
      <c r="C8" s="161"/>
      <c r="D8" s="161">
        <v>2000</v>
      </c>
      <c r="E8" s="161"/>
      <c r="F8" s="31" t="s">
        <v>413</v>
      </c>
      <c r="G8" s="31"/>
      <c r="H8" s="163">
        <v>51881000</v>
      </c>
      <c r="I8" s="164"/>
    </row>
    <row r="9" spans="1:9" x14ac:dyDescent="0.25">
      <c r="A9" s="165"/>
      <c r="B9" s="166"/>
      <c r="C9" s="166"/>
      <c r="D9" s="166"/>
      <c r="E9" s="166"/>
      <c r="F9" s="166"/>
      <c r="G9" s="166"/>
      <c r="H9" s="166"/>
      <c r="I9" s="167"/>
    </row>
    <row r="10" spans="1:9" ht="17.25" thickBot="1" x14ac:dyDescent="0.3">
      <c r="A10" s="168" t="s">
        <v>414</v>
      </c>
      <c r="B10" s="169"/>
      <c r="C10" s="169"/>
      <c r="D10" s="169"/>
      <c r="E10" s="169"/>
      <c r="F10" s="169"/>
      <c r="G10" s="169"/>
      <c r="H10" s="170">
        <f>SUM(H3:I8)</f>
        <v>555475000</v>
      </c>
      <c r="I10" s="171"/>
    </row>
  </sheetData>
  <mergeCells count="25">
    <mergeCell ref="B8:C8"/>
    <mergeCell ref="D8:E8"/>
    <mergeCell ref="H8:I8"/>
    <mergeCell ref="A9:I9"/>
    <mergeCell ref="A10:G10"/>
    <mergeCell ref="H10:I10"/>
    <mergeCell ref="B6:C6"/>
    <mergeCell ref="D6:E6"/>
    <mergeCell ref="H6:I6"/>
    <mergeCell ref="B7:C7"/>
    <mergeCell ref="D7:E7"/>
    <mergeCell ref="H7:I7"/>
    <mergeCell ref="B4:C4"/>
    <mergeCell ref="D4:E4"/>
    <mergeCell ref="H4:I4"/>
    <mergeCell ref="B5:C5"/>
    <mergeCell ref="D5:E5"/>
    <mergeCell ref="H5:I5"/>
    <mergeCell ref="B2:C2"/>
    <mergeCell ref="D2:E2"/>
    <mergeCell ref="F2:G2"/>
    <mergeCell ref="H2:I2"/>
    <mergeCell ref="B3:C3"/>
    <mergeCell ref="D3:E3"/>
    <mergeCell ref="H3:I3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5" zoomScaleNormal="85" zoomScaleSheetLayoutView="100" workbookViewId="0">
      <selection activeCell="S17" sqref="S17"/>
    </sheetView>
  </sheetViews>
  <sheetFormatPr defaultRowHeight="16.5" x14ac:dyDescent="0.25"/>
  <cols>
    <col min="1" max="2" width="10.625" customWidth="1"/>
    <col min="3" max="3" width="15.625" customWidth="1"/>
    <col min="4" max="8" width="10.625" customWidth="1"/>
    <col min="12" max="12" width="30.625" customWidth="1"/>
  </cols>
  <sheetData>
    <row r="1" spans="1:12" x14ac:dyDescent="0.25">
      <c r="L1" s="181" t="s">
        <v>417</v>
      </c>
    </row>
    <row r="2" spans="1:12" x14ac:dyDescent="0.25">
      <c r="L2" s="181"/>
    </row>
    <row r="3" spans="1:12" x14ac:dyDescent="0.25">
      <c r="A3" s="44" t="s">
        <v>421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7.25" thickBot="1" x14ac:dyDescent="0.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ht="60" customHeight="1" x14ac:dyDescent="0.25">
      <c r="A5" s="33" t="s">
        <v>419</v>
      </c>
      <c r="B5" s="187"/>
      <c r="C5" s="188"/>
      <c r="D5" s="188"/>
      <c r="E5" s="188"/>
      <c r="F5" s="189"/>
      <c r="G5" s="193" t="s">
        <v>416</v>
      </c>
      <c r="H5" s="196" t="s">
        <v>155</v>
      </c>
      <c r="I5" s="196"/>
      <c r="J5" s="52"/>
      <c r="K5" s="52"/>
      <c r="L5" s="53"/>
    </row>
    <row r="6" spans="1:12" ht="57" customHeight="1" thickBot="1" x14ac:dyDescent="0.3">
      <c r="A6" s="34" t="s">
        <v>415</v>
      </c>
      <c r="B6" s="190"/>
      <c r="C6" s="191"/>
      <c r="D6" s="191"/>
      <c r="E6" s="191"/>
      <c r="F6" s="192"/>
      <c r="G6" s="194"/>
      <c r="H6" s="145" t="s">
        <v>420</v>
      </c>
      <c r="I6" s="145"/>
      <c r="J6" s="55"/>
      <c r="K6" s="55"/>
      <c r="L6" s="197"/>
    </row>
    <row r="7" spans="1:12" x14ac:dyDescent="0.25">
      <c r="A7" s="183" t="s">
        <v>422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84"/>
    </row>
    <row r="8" spans="1:12" x14ac:dyDescent="0.25">
      <c r="A8" s="185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86"/>
    </row>
    <row r="9" spans="1:12" ht="24.95" customHeight="1" x14ac:dyDescent="0.25">
      <c r="A9" s="36" t="s">
        <v>94</v>
      </c>
      <c r="B9" s="60" t="s">
        <v>95</v>
      </c>
      <c r="C9" s="60"/>
      <c r="D9" s="35" t="s">
        <v>322</v>
      </c>
      <c r="E9" s="32" t="s">
        <v>223</v>
      </c>
      <c r="F9" s="43" t="s">
        <v>324</v>
      </c>
      <c r="G9" s="40"/>
      <c r="H9" s="43" t="s">
        <v>99</v>
      </c>
      <c r="I9" s="43"/>
      <c r="J9" s="43"/>
      <c r="K9" s="60" t="s">
        <v>124</v>
      </c>
      <c r="L9" s="195"/>
    </row>
    <row r="10" spans="1:12" ht="24.95" customHeight="1" x14ac:dyDescent="0.25">
      <c r="A10" s="38"/>
      <c r="B10" s="178"/>
      <c r="C10" s="179"/>
      <c r="D10" s="37"/>
      <c r="E10" s="37"/>
      <c r="F10" s="178"/>
      <c r="G10" s="180"/>
      <c r="H10" s="172"/>
      <c r="I10" s="172"/>
      <c r="J10" s="172"/>
      <c r="K10" s="172"/>
      <c r="L10" s="173"/>
    </row>
    <row r="11" spans="1:12" ht="24.95" customHeight="1" x14ac:dyDescent="0.25">
      <c r="A11" s="38"/>
      <c r="B11" s="178"/>
      <c r="C11" s="179"/>
      <c r="D11" s="37"/>
      <c r="E11" s="37"/>
      <c r="F11" s="178"/>
      <c r="G11" s="180"/>
      <c r="H11" s="172"/>
      <c r="I11" s="172"/>
      <c r="J11" s="172"/>
      <c r="K11" s="172"/>
      <c r="L11" s="173"/>
    </row>
    <row r="12" spans="1:12" ht="24.95" customHeight="1" x14ac:dyDescent="0.25">
      <c r="A12" s="38"/>
      <c r="B12" s="178"/>
      <c r="C12" s="179"/>
      <c r="D12" s="37"/>
      <c r="E12" s="37"/>
      <c r="F12" s="178"/>
      <c r="G12" s="180"/>
      <c r="H12" s="172"/>
      <c r="I12" s="172"/>
      <c r="J12" s="172"/>
      <c r="K12" s="172"/>
      <c r="L12" s="173"/>
    </row>
    <row r="13" spans="1:12" ht="24.95" customHeight="1" x14ac:dyDescent="0.25">
      <c r="A13" s="38"/>
      <c r="B13" s="178"/>
      <c r="C13" s="179"/>
      <c r="D13" s="37"/>
      <c r="E13" s="37"/>
      <c r="F13" s="178"/>
      <c r="G13" s="180"/>
      <c r="H13" s="172"/>
      <c r="I13" s="172"/>
      <c r="J13" s="172"/>
      <c r="K13" s="172"/>
      <c r="L13" s="173"/>
    </row>
    <row r="14" spans="1:12" ht="24.95" customHeight="1" x14ac:dyDescent="0.25">
      <c r="A14" s="38"/>
      <c r="B14" s="178"/>
      <c r="C14" s="179"/>
      <c r="D14" s="37"/>
      <c r="E14" s="37"/>
      <c r="F14" s="178"/>
      <c r="G14" s="180"/>
      <c r="H14" s="172"/>
      <c r="I14" s="172"/>
      <c r="J14" s="172"/>
      <c r="K14" s="172"/>
      <c r="L14" s="173"/>
    </row>
    <row r="15" spans="1:12" ht="24.95" customHeight="1" x14ac:dyDescent="0.25">
      <c r="A15" s="38"/>
      <c r="B15" s="178"/>
      <c r="C15" s="179"/>
      <c r="D15" s="37"/>
      <c r="E15" s="37"/>
      <c r="F15" s="178"/>
      <c r="G15" s="180"/>
      <c r="H15" s="172"/>
      <c r="I15" s="172"/>
      <c r="J15" s="172"/>
      <c r="K15" s="172"/>
      <c r="L15" s="173"/>
    </row>
    <row r="16" spans="1:12" ht="24.95" customHeight="1" x14ac:dyDescent="0.25">
      <c r="A16" s="38"/>
      <c r="B16" s="178"/>
      <c r="C16" s="179"/>
      <c r="D16" s="37"/>
      <c r="E16" s="37"/>
      <c r="F16" s="178"/>
      <c r="G16" s="180"/>
      <c r="H16" s="172"/>
      <c r="I16" s="172"/>
      <c r="J16" s="172"/>
      <c r="K16" s="172"/>
      <c r="L16" s="173"/>
    </row>
    <row r="17" spans="1:12" ht="24.95" customHeight="1" x14ac:dyDescent="0.25">
      <c r="A17" s="38"/>
      <c r="B17" s="178"/>
      <c r="C17" s="179"/>
      <c r="D17" s="37"/>
      <c r="E17" s="37"/>
      <c r="F17" s="178"/>
      <c r="G17" s="180"/>
      <c r="H17" s="172"/>
      <c r="I17" s="172"/>
      <c r="J17" s="172"/>
      <c r="K17" s="172"/>
      <c r="L17" s="173"/>
    </row>
    <row r="18" spans="1:12" ht="24.95" customHeight="1" x14ac:dyDescent="0.25">
      <c r="A18" s="38"/>
      <c r="B18" s="178"/>
      <c r="C18" s="179"/>
      <c r="D18" s="37"/>
      <c r="E18" s="37"/>
      <c r="F18" s="178"/>
      <c r="G18" s="180"/>
      <c r="H18" s="172"/>
      <c r="I18" s="172"/>
      <c r="J18" s="172"/>
      <c r="K18" s="172"/>
      <c r="L18" s="173"/>
    </row>
    <row r="19" spans="1:12" ht="24.95" customHeight="1" x14ac:dyDescent="0.25">
      <c r="A19" s="38"/>
      <c r="B19" s="178"/>
      <c r="C19" s="179"/>
      <c r="D19" s="37"/>
      <c r="E19" s="37"/>
      <c r="F19" s="178"/>
      <c r="G19" s="180"/>
      <c r="H19" s="172"/>
      <c r="I19" s="172"/>
      <c r="J19" s="172"/>
      <c r="K19" s="172"/>
      <c r="L19" s="173"/>
    </row>
    <row r="20" spans="1:12" ht="24.95" customHeight="1" x14ac:dyDescent="0.25">
      <c r="A20" s="38"/>
      <c r="B20" s="178"/>
      <c r="C20" s="179"/>
      <c r="D20" s="37"/>
      <c r="E20" s="37"/>
      <c r="F20" s="178"/>
      <c r="G20" s="180"/>
      <c r="H20" s="172"/>
      <c r="I20" s="172"/>
      <c r="J20" s="172"/>
      <c r="K20" s="172"/>
      <c r="L20" s="173"/>
    </row>
    <row r="21" spans="1:12" ht="24.95" customHeight="1" x14ac:dyDescent="0.25">
      <c r="A21" s="38"/>
      <c r="B21" s="178"/>
      <c r="C21" s="179"/>
      <c r="D21" s="37"/>
      <c r="E21" s="37"/>
      <c r="F21" s="178"/>
      <c r="G21" s="180"/>
      <c r="H21" s="172"/>
      <c r="I21" s="172"/>
      <c r="J21" s="172"/>
      <c r="K21" s="172"/>
      <c r="L21" s="173"/>
    </row>
    <row r="22" spans="1:12" ht="24.95" customHeight="1" x14ac:dyDescent="0.25">
      <c r="A22" s="38"/>
      <c r="B22" s="178"/>
      <c r="C22" s="179"/>
      <c r="D22" s="37"/>
      <c r="E22" s="37"/>
      <c r="F22" s="178"/>
      <c r="G22" s="180"/>
      <c r="H22" s="172"/>
      <c r="I22" s="172"/>
      <c r="J22" s="172"/>
      <c r="K22" s="172"/>
      <c r="L22" s="173"/>
    </row>
    <row r="23" spans="1:12" ht="24.95" customHeight="1" x14ac:dyDescent="0.25">
      <c r="A23" s="38"/>
      <c r="B23" s="178"/>
      <c r="C23" s="179"/>
      <c r="D23" s="37"/>
      <c r="E23" s="37"/>
      <c r="F23" s="178"/>
      <c r="G23" s="180"/>
      <c r="H23" s="172"/>
      <c r="I23" s="172"/>
      <c r="J23" s="172"/>
      <c r="K23" s="172"/>
      <c r="L23" s="173"/>
    </row>
    <row r="24" spans="1:12" ht="38.25" customHeight="1" thickBot="1" x14ac:dyDescent="0.3">
      <c r="A24" s="174" t="s">
        <v>423</v>
      </c>
      <c r="B24" s="175"/>
      <c r="C24" s="175"/>
      <c r="D24" s="175"/>
      <c r="E24" s="175"/>
      <c r="F24" s="175"/>
      <c r="G24" s="175"/>
      <c r="H24" s="176"/>
      <c r="I24" s="176"/>
      <c r="J24" s="176"/>
      <c r="K24" s="176"/>
      <c r="L24" s="177"/>
    </row>
    <row r="26" spans="1:12" x14ac:dyDescent="0.25">
      <c r="A26" s="182" t="s">
        <v>418</v>
      </c>
      <c r="B26" s="182"/>
      <c r="C26" s="182"/>
      <c r="D26" s="182"/>
      <c r="E26" s="182"/>
      <c r="F26" s="182"/>
      <c r="G26" s="182"/>
      <c r="H26" s="182"/>
    </row>
  </sheetData>
  <mergeCells count="74">
    <mergeCell ref="A7:L8"/>
    <mergeCell ref="B9:C9"/>
    <mergeCell ref="B5:F5"/>
    <mergeCell ref="B6:F6"/>
    <mergeCell ref="G5:G6"/>
    <mergeCell ref="H9:J9"/>
    <mergeCell ref="K9:L9"/>
    <mergeCell ref="H5:I5"/>
    <mergeCell ref="H6:I6"/>
    <mergeCell ref="J5:L5"/>
    <mergeCell ref="J6:L6"/>
    <mergeCell ref="L1:L2"/>
    <mergeCell ref="A3:L4"/>
    <mergeCell ref="A26:H26"/>
    <mergeCell ref="F9:G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K18:L18"/>
    <mergeCell ref="K10:L10"/>
    <mergeCell ref="K11:L11"/>
    <mergeCell ref="K12:L12"/>
    <mergeCell ref="K13:L13"/>
    <mergeCell ref="A24:G24"/>
    <mergeCell ref="H24:J24"/>
    <mergeCell ref="K24:L24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60" zoomScaleNormal="100" workbookViewId="0">
      <selection activeCell="A18" sqref="A18:I18"/>
    </sheetView>
  </sheetViews>
  <sheetFormatPr defaultRowHeight="16.5" x14ac:dyDescent="0.25"/>
  <cols>
    <col min="4" max="4" width="10.625" customWidth="1"/>
    <col min="5" max="5" width="12.625" customWidth="1"/>
  </cols>
  <sheetData>
    <row r="1" spans="1:9" x14ac:dyDescent="0.25">
      <c r="A1" s="22" t="s">
        <v>361</v>
      </c>
      <c r="B1" s="200" t="s">
        <v>362</v>
      </c>
      <c r="C1" s="200"/>
      <c r="D1" s="200" t="s">
        <v>363</v>
      </c>
      <c r="E1" s="200"/>
      <c r="F1" s="200" t="s">
        <v>364</v>
      </c>
      <c r="G1" s="200"/>
      <c r="H1" s="200" t="s">
        <v>365</v>
      </c>
      <c r="I1" s="201"/>
    </row>
    <row r="2" spans="1:9" x14ac:dyDescent="0.25">
      <c r="A2" s="26" t="s">
        <v>366</v>
      </c>
      <c r="B2" s="161" t="s">
        <v>367</v>
      </c>
      <c r="C2" s="161"/>
      <c r="D2" s="161">
        <v>4850</v>
      </c>
      <c r="E2" s="161"/>
      <c r="F2" s="161" t="s">
        <v>381</v>
      </c>
      <c r="G2" s="161"/>
      <c r="H2" s="163">
        <v>121278000</v>
      </c>
      <c r="I2" s="164"/>
    </row>
    <row r="3" spans="1:9" x14ac:dyDescent="0.25">
      <c r="A3" s="26">
        <v>1</v>
      </c>
      <c r="B3" s="161" t="s">
        <v>368</v>
      </c>
      <c r="C3" s="161"/>
      <c r="D3" s="161">
        <v>3100</v>
      </c>
      <c r="E3" s="161"/>
      <c r="F3" s="161" t="s">
        <v>382</v>
      </c>
      <c r="G3" s="161"/>
      <c r="H3" s="163">
        <v>82877000</v>
      </c>
      <c r="I3" s="164"/>
    </row>
    <row r="4" spans="1:9" x14ac:dyDescent="0.25">
      <c r="A4" s="26">
        <v>2</v>
      </c>
      <c r="B4" s="161" t="s">
        <v>369</v>
      </c>
      <c r="C4" s="161"/>
      <c r="D4" s="161">
        <v>2700</v>
      </c>
      <c r="E4" s="161"/>
      <c r="F4" s="161" t="s">
        <v>383</v>
      </c>
      <c r="G4" s="161"/>
      <c r="H4" s="163">
        <v>82193000</v>
      </c>
      <c r="I4" s="164"/>
    </row>
    <row r="5" spans="1:9" ht="69.95" customHeight="1" x14ac:dyDescent="0.25">
      <c r="A5" s="26">
        <v>3</v>
      </c>
      <c r="B5" s="161" t="s">
        <v>370</v>
      </c>
      <c r="C5" s="161"/>
      <c r="D5" s="198" t="s">
        <v>384</v>
      </c>
      <c r="E5" s="161"/>
      <c r="F5" s="198" t="s">
        <v>385</v>
      </c>
      <c r="G5" s="161"/>
      <c r="H5" s="163">
        <v>129985000</v>
      </c>
      <c r="I5" s="164"/>
    </row>
    <row r="6" spans="1:9" x14ac:dyDescent="0.25">
      <c r="A6" s="26">
        <v>4</v>
      </c>
      <c r="B6" s="161" t="s">
        <v>371</v>
      </c>
      <c r="C6" s="161"/>
      <c r="D6" s="161">
        <v>3500</v>
      </c>
      <c r="E6" s="161"/>
      <c r="F6" s="161" t="s">
        <v>386</v>
      </c>
      <c r="G6" s="161"/>
      <c r="H6" s="163">
        <v>104057000</v>
      </c>
      <c r="I6" s="164"/>
    </row>
    <row r="7" spans="1:9" x14ac:dyDescent="0.25">
      <c r="A7" s="26">
        <v>5</v>
      </c>
      <c r="B7" s="161" t="s">
        <v>372</v>
      </c>
      <c r="C7" s="161"/>
      <c r="D7" s="161">
        <v>2000</v>
      </c>
      <c r="E7" s="161"/>
      <c r="F7" s="161" t="s">
        <v>387</v>
      </c>
      <c r="G7" s="161"/>
      <c r="H7" s="163">
        <v>53130000</v>
      </c>
      <c r="I7" s="164"/>
    </row>
    <row r="8" spans="1:9" x14ac:dyDescent="0.25">
      <c r="A8" s="23"/>
      <c r="B8" s="24"/>
      <c r="C8" s="24"/>
      <c r="D8" s="24"/>
      <c r="E8" s="24"/>
      <c r="F8" s="24"/>
      <c r="G8" s="24"/>
      <c r="H8" s="24"/>
      <c r="I8" s="25"/>
    </row>
    <row r="9" spans="1:9" ht="17.25" thickBot="1" x14ac:dyDescent="0.3">
      <c r="A9" s="168" t="s">
        <v>380</v>
      </c>
      <c r="B9" s="169"/>
      <c r="C9" s="169"/>
      <c r="D9" s="169"/>
      <c r="E9" s="169"/>
      <c r="F9" s="169"/>
      <c r="G9" s="169"/>
      <c r="H9" s="170">
        <f>SUM(H2:I7)</f>
        <v>573520000</v>
      </c>
      <c r="I9" s="199"/>
    </row>
    <row r="10" spans="1:9" x14ac:dyDescent="0.25">
      <c r="A10" s="27"/>
      <c r="B10" s="28"/>
      <c r="C10" s="28"/>
      <c r="D10" s="28"/>
      <c r="E10" s="28"/>
      <c r="F10" s="28"/>
      <c r="G10" s="28"/>
      <c r="H10" s="28"/>
      <c r="I10" s="29"/>
    </row>
    <row r="11" spans="1:9" x14ac:dyDescent="0.25">
      <c r="A11" s="30" t="s">
        <v>84</v>
      </c>
      <c r="B11" s="161" t="s">
        <v>362</v>
      </c>
      <c r="C11" s="161"/>
      <c r="D11" s="161" t="s">
        <v>363</v>
      </c>
      <c r="E11" s="161"/>
      <c r="F11" s="161" t="s">
        <v>364</v>
      </c>
      <c r="G11" s="161"/>
      <c r="H11" s="161" t="s">
        <v>365</v>
      </c>
      <c r="I11" s="162"/>
    </row>
    <row r="12" spans="1:9" x14ac:dyDescent="0.25">
      <c r="A12" s="30" t="s">
        <v>366</v>
      </c>
      <c r="B12" s="161" t="s">
        <v>367</v>
      </c>
      <c r="C12" s="161"/>
      <c r="D12" s="161">
        <v>4850</v>
      </c>
      <c r="E12" s="161"/>
      <c r="F12" s="21"/>
      <c r="G12" s="21"/>
      <c r="H12" s="163">
        <v>120966760</v>
      </c>
      <c r="I12" s="164"/>
    </row>
    <row r="13" spans="1:9" x14ac:dyDescent="0.25">
      <c r="A13" s="30">
        <v>1</v>
      </c>
      <c r="B13" s="161" t="s">
        <v>368</v>
      </c>
      <c r="C13" s="161"/>
      <c r="D13" s="161">
        <v>3100</v>
      </c>
      <c r="E13" s="161"/>
      <c r="F13" s="21"/>
      <c r="G13" s="21"/>
      <c r="H13" s="163">
        <v>79967020</v>
      </c>
      <c r="I13" s="164"/>
    </row>
    <row r="14" spans="1:9" x14ac:dyDescent="0.25">
      <c r="A14" s="30">
        <v>2</v>
      </c>
      <c r="B14" s="161" t="s">
        <v>369</v>
      </c>
      <c r="C14" s="161"/>
      <c r="D14" s="161">
        <v>2700</v>
      </c>
      <c r="E14" s="161"/>
      <c r="F14" s="21"/>
      <c r="G14" s="21"/>
      <c r="H14" s="163">
        <v>73309880</v>
      </c>
      <c r="I14" s="164"/>
    </row>
    <row r="15" spans="1:9" x14ac:dyDescent="0.25">
      <c r="A15" s="30">
        <v>3</v>
      </c>
      <c r="B15" s="161" t="s">
        <v>370</v>
      </c>
      <c r="C15" s="161"/>
      <c r="D15" s="161">
        <v>5000</v>
      </c>
      <c r="E15" s="161"/>
      <c r="F15" s="21"/>
      <c r="G15" s="21"/>
      <c r="H15" s="163">
        <v>117198310</v>
      </c>
      <c r="I15" s="164"/>
    </row>
    <row r="16" spans="1:9" x14ac:dyDescent="0.25">
      <c r="A16" s="30">
        <v>4</v>
      </c>
      <c r="B16" s="161" t="s">
        <v>371</v>
      </c>
      <c r="C16" s="161"/>
      <c r="D16" s="161">
        <v>3500</v>
      </c>
      <c r="E16" s="161"/>
      <c r="F16" s="21"/>
      <c r="G16" s="21"/>
      <c r="H16" s="163">
        <v>100934320</v>
      </c>
      <c r="I16" s="164"/>
    </row>
    <row r="17" spans="1:9" x14ac:dyDescent="0.25">
      <c r="A17" s="30">
        <v>5</v>
      </c>
      <c r="B17" s="161" t="s">
        <v>372</v>
      </c>
      <c r="C17" s="161"/>
      <c r="D17" s="161">
        <v>2000</v>
      </c>
      <c r="E17" s="161"/>
      <c r="F17" s="21"/>
      <c r="G17" s="21"/>
      <c r="H17" s="163">
        <v>50843380</v>
      </c>
      <c r="I17" s="164"/>
    </row>
    <row r="18" spans="1:9" x14ac:dyDescent="0.25">
      <c r="A18" s="165"/>
      <c r="B18" s="166"/>
      <c r="C18" s="166"/>
      <c r="D18" s="166"/>
      <c r="E18" s="166"/>
      <c r="F18" s="166"/>
      <c r="G18" s="166"/>
      <c r="H18" s="166"/>
      <c r="I18" s="167"/>
    </row>
    <row r="19" spans="1:9" ht="17.25" thickBot="1" x14ac:dyDescent="0.3">
      <c r="A19" s="168" t="s">
        <v>380</v>
      </c>
      <c r="B19" s="169"/>
      <c r="C19" s="169"/>
      <c r="D19" s="169"/>
      <c r="E19" s="169"/>
      <c r="F19" s="169"/>
      <c r="G19" s="169"/>
      <c r="H19" s="170">
        <f>SUM(H12:I17)</f>
        <v>543219670</v>
      </c>
      <c r="I19" s="171"/>
    </row>
  </sheetData>
  <mergeCells count="55">
    <mergeCell ref="H19:I19"/>
    <mergeCell ref="A19:G19"/>
    <mergeCell ref="A18:I18"/>
    <mergeCell ref="B7:C7"/>
    <mergeCell ref="D1:E1"/>
    <mergeCell ref="F1:G1"/>
    <mergeCell ref="H1:I1"/>
    <mergeCell ref="D2:E2"/>
    <mergeCell ref="H2:I2"/>
    <mergeCell ref="D3:E3"/>
    <mergeCell ref="H3:I3"/>
    <mergeCell ref="D4:E4"/>
    <mergeCell ref="H4:I4"/>
    <mergeCell ref="B1:C1"/>
    <mergeCell ref="B2:C2"/>
    <mergeCell ref="B3:C3"/>
    <mergeCell ref="B4:C4"/>
    <mergeCell ref="B5:C5"/>
    <mergeCell ref="B6:C6"/>
    <mergeCell ref="D5:E5"/>
    <mergeCell ref="H5:I5"/>
    <mergeCell ref="D6:E6"/>
    <mergeCell ref="H6:I6"/>
    <mergeCell ref="D7:E7"/>
    <mergeCell ref="H7:I7"/>
    <mergeCell ref="F7:G7"/>
    <mergeCell ref="H9:I9"/>
    <mergeCell ref="B11:C11"/>
    <mergeCell ref="D11:E11"/>
    <mergeCell ref="F11:G11"/>
    <mergeCell ref="H11:I11"/>
    <mergeCell ref="A9:G9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B17:C17"/>
    <mergeCell ref="D17:E17"/>
    <mergeCell ref="H17:I17"/>
    <mergeCell ref="F2:G2"/>
    <mergeCell ref="F3:G3"/>
    <mergeCell ref="F4:G4"/>
    <mergeCell ref="F5:G5"/>
    <mergeCell ref="F6:G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8</vt:i4>
      </vt:variant>
    </vt:vector>
  </HeadingPairs>
  <TitlesOfParts>
    <vt:vector size="17" baseType="lpstr">
      <vt:lpstr>基隆商工</vt:lpstr>
      <vt:lpstr>臺東高商</vt:lpstr>
      <vt:lpstr>嘉義家職</vt:lpstr>
      <vt:lpstr>興大附農</vt:lpstr>
      <vt:lpstr>宜蘭高中</vt:lpstr>
      <vt:lpstr>臺東體中</vt:lpstr>
      <vt:lpstr>總經費合計</vt:lpstr>
      <vt:lpstr>經費概估表</vt:lpstr>
      <vt:lpstr>工作表7</vt:lpstr>
      <vt:lpstr>工作表7!Print_Area</vt:lpstr>
      <vt:lpstr>宜蘭高中!Print_Area</vt:lpstr>
      <vt:lpstr>基隆商工!Print_Area</vt:lpstr>
      <vt:lpstr>經費概估表!Print_Area</vt:lpstr>
      <vt:lpstr>嘉義家職!Print_Area</vt:lpstr>
      <vt:lpstr>臺東高商!Print_Area</vt:lpstr>
      <vt:lpstr>臺東體中!Print_Area</vt:lpstr>
      <vt:lpstr>興大附農!Print_Area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2019-07-16T09:05:05Z</cp:lastPrinted>
  <dcterms:created xsi:type="dcterms:W3CDTF">2018-05-29T11:31:47Z</dcterms:created>
  <dcterms:modified xsi:type="dcterms:W3CDTF">2020-07-21T08:58:24Z</dcterms:modified>
</cp:coreProperties>
</file>